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600" windowHeight="7992" activeTab="1"/>
  </bookViews>
  <sheets>
    <sheet name="Emission Factor " sheetId="1" r:id="rId1"/>
    <sheet name="สรุปการคำนวณ" sheetId="2" r:id="rId2"/>
    <sheet name="CH4จากระบบ septic tank" sheetId="3" r:id="rId3"/>
    <sheet name="CH4จากบ่อบำบัดน้ำเสีย" sheetId="4" r:id="rId4"/>
    <sheet name="ก๊าซเรือนกระจกแยกตามรายการ" sheetId="5" r:id="rId5"/>
    <sheet name="ก๊าซเรือนกระจก-ต่อคน-ต่อพื้นที่" sheetId="6" r:id="rId6"/>
    <sheet name="ก๊าซเรือนกระจก-แยกตามประเภท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'สรุปการคำนวณ'!$A$1:$AE$38</definedName>
  </definedNames>
  <calcPr fullCalcOnLoad="1"/>
</workbook>
</file>

<file path=xl/comments4.xml><?xml version="1.0" encoding="utf-8"?>
<comments xmlns="http://schemas.openxmlformats.org/spreadsheetml/2006/main">
  <authors>
    <author>ASUS</author>
  </authors>
  <commentList>
    <comment ref="C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=สรุปการคำนวณ!F22</t>
        </r>
      </text>
    </comment>
  </commentList>
</comments>
</file>

<file path=xl/sharedStrings.xml><?xml version="1.0" encoding="utf-8"?>
<sst xmlns="http://schemas.openxmlformats.org/spreadsheetml/2006/main" count="254" uniqueCount="139">
  <si>
    <t>ขอบเขตการดำเนินงาน</t>
  </si>
  <si>
    <t>ปริมาณ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</si>
  <si>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</si>
  <si>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</si>
  <si>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</si>
  <si>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</si>
  <si>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</si>
  <si>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</si>
  <si>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</si>
  <si>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</si>
  <si>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</si>
  <si>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m3</t>
  </si>
  <si>
    <t>CF</t>
  </si>
  <si>
    <t>kg CO2e/ลิตร</t>
  </si>
  <si>
    <t>kg CO2e/kWh</t>
  </si>
  <si>
    <t>kg CO2e/kg</t>
  </si>
  <si>
    <t>kg CO2e/m3</t>
  </si>
  <si>
    <t>รายการ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</si>
  <si>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</si>
  <si>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</si>
  <si>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</si>
  <si>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</si>
  <si>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</si>
  <si>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</si>
  <si>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</si>
  <si>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</si>
  <si>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</si>
  <si>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</si>
  <si>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</si>
  <si>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</si>
  <si>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</si>
  <si>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</si>
  <si>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</si>
  <si>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</si>
  <si>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</si>
  <si>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</si>
  <si>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</si>
  <si>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</si>
  <si>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95</t>
  </si>
  <si>
    <t>การใช้กระดาษ A4 และ A3 (สีขาว)</t>
  </si>
  <si>
    <t>kgCH4</t>
  </si>
  <si>
    <t>kgCH2FCF3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</si>
  <si>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</si>
  <si>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</si>
  <si>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</si>
  <si>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</si>
  <si>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</si>
  <si>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</si>
  <si>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</si>
  <si>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</si>
  <si>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</si>
  <si>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</si>
  <si>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</si>
  <si>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</si>
  <si>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</si>
  <si>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</si>
  <si>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</si>
  <si>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kg CO2e/kgCH4</t>
  </si>
  <si>
    <t>kg CO2e/kgCH2FCF3</t>
  </si>
  <si>
    <t xml:space="preserve">Ui </t>
  </si>
  <si>
    <t>Tij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</si>
  <si>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</si>
  <si>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</si>
  <si>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</si>
  <si>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</si>
  <si>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จำนวนพนักงานเฉลี่ย</t>
  </si>
  <si>
    <t>หมายหตุ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</si>
  <si>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</si>
  <si>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ปริมาณน้ำเสียเฉลี่ย (ลบ.ม)</t>
  </si>
  <si>
    <t>CH4 (kgCH4)</t>
  </si>
  <si>
    <t>kg CO2e/kgH4</t>
  </si>
  <si>
    <t>4. การปล่อยสารมีเทนจากระบบ septic tank</t>
  </si>
  <si>
    <t>5. การปล่อยสารมีเทนจากบ่อบำบัดน้ำเสียแบบไม่เติมอากาศ</t>
  </si>
  <si>
    <t>3. การใช้สารดับเพลิง (CO2)</t>
  </si>
  <si>
    <t>kg CO2e/kgCO2</t>
  </si>
  <si>
    <t>น้ำมัน Gasohol 91, E20, E85</t>
  </si>
  <si>
    <t>%</t>
  </si>
  <si>
    <t>6.การใช้สารทำความเย็นชนิด R134a</t>
  </si>
  <si>
    <t>จำนวนพนักงานองค์กร</t>
  </si>
  <si>
    <t>จำนวนวันเปิดบริการ/ทำการ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</si>
  <si>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</si>
  <si>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พ.ค.</t>
  </si>
  <si>
    <t>มิ.ย.</t>
  </si>
  <si>
    <t>ขอบเขต
ดำเนินงาน</t>
  </si>
  <si>
    <t>Wi = ปริมาณน้ำเสีย (ลบ.ม.)</t>
  </si>
  <si>
    <t>S = สารอินทรีย์ที่ถูกกำจัดในรูปของสลัดจ์ (กิโลกรัม COD)</t>
  </si>
  <si>
    <t>ปริมาณน้ำใช้ในรอบปี m3</t>
  </si>
  <si>
    <t>ปริมาณน้ำเสียคิดเป็น 80% m3</t>
  </si>
  <si>
    <t>น้ำประปา-การประปานครหลวง</t>
  </si>
  <si>
    <t>น้ำประปา-การประปาส่วนภูมิภาค</t>
  </si>
  <si>
    <t>จำนวนวัน
ทำงาน</t>
  </si>
  <si>
    <t>TOW
BOD</t>
  </si>
  <si>
    <t>ค่า fix ห้ามแก้</t>
  </si>
  <si>
    <t xml:space="preserve">EF   =  0.6 kg CH4 / kg BOD  x  0.5  
       =  0.3 kg CH4 / kg BOD </t>
  </si>
  <si>
    <t>(มาจากแถวที่ 23)</t>
  </si>
  <si>
    <t xml:space="preserve">สมมุติฐานถังบำบัดน้ำเสีย
จากห้องน้ำแบบไม่เติมอากาศ  </t>
  </si>
  <si>
    <t>สมการการคำนวณปริมาณมีเทนจากระบบ แบบไม่เติมอากาศ = 0.2 × [(Wi × CODin)-S]</t>
  </si>
  <si>
    <t>COD = ความต้องการออกซิเจนทางเคมีของน้ำเสียขาเข้า kgCODin/L</t>
  </si>
  <si>
    <t>ปีคำนวณ ................</t>
  </si>
  <si>
    <t>หน่วย
การเก็บข้อมูล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</si>
  <si>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</si>
  <si>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แบบฟอร์ม 1.5(1)</t>
  </si>
  <si>
    <r>
      <t xml:space="preserve">เดือน / ประจำปี </t>
    </r>
    <r>
      <rPr>
        <b/>
        <sz val="18"/>
        <color indexed="10"/>
        <rFont val="Angsana New"/>
        <family val="1"/>
      </rPr>
      <t>2561</t>
    </r>
  </si>
  <si>
    <r>
      <t xml:space="preserve">ประจำปี </t>
    </r>
    <r>
      <rPr>
        <sz val="18"/>
        <color indexed="10"/>
        <rFont val="Angsana New"/>
        <family val="1"/>
      </rPr>
      <t>2561</t>
    </r>
    <r>
      <rPr>
        <sz val="18"/>
        <rFont val="Angsana New"/>
        <family val="1"/>
      </rPr>
      <t xml:space="preserve"> (ม.ค.-ธ.ค.)</t>
    </r>
  </si>
  <si>
    <t xml:space="preserve">รวม </t>
  </si>
  <si>
    <t>บันทึกประจำ
เดือน</t>
  </si>
  <si>
    <t>ปริมาณก๊าซเรือนกระจกรวม/(tCO2e)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</si>
  <si>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</si>
  <si>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</si>
  <si>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</si>
  <si>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</si>
  <si>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</si>
  <si>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</si>
  <si>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</si>
  <si>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</si>
  <si>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</si>
  <si>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</si>
  <si>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</si>
  <si>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</si>
  <si>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เฉลี่ย</t>
  </si>
  <si>
    <t>-</t>
  </si>
  <si>
    <r>
      <t xml:space="preserve">ปริมาณก๊าซเรือนกระจกแยกตามรายการ (tCO2) </t>
    </r>
    <r>
      <rPr>
        <b/>
        <sz val="18"/>
        <color indexed="10"/>
        <rFont val="Angsana New"/>
        <family val="1"/>
      </rPr>
      <t>2561</t>
    </r>
  </si>
  <si>
    <r>
      <t xml:space="preserve">เปียบเทียบปริมาณก๊าซเรือนกระจกแยกตามประเภท </t>
    </r>
    <r>
      <rPr>
        <b/>
        <sz val="18"/>
        <color indexed="10"/>
        <rFont val="Angsana New"/>
        <family val="1"/>
      </rPr>
      <t>2560-2561</t>
    </r>
  </si>
  <si>
    <t>GHG 2560</t>
  </si>
  <si>
    <t>GHG 2561</t>
  </si>
  <si>
    <r>
      <t xml:space="preserve">เปรียบเทียบก๊าซเรือนกระจก ประจำปี </t>
    </r>
    <r>
      <rPr>
        <b/>
        <sz val="18"/>
        <color indexed="10"/>
        <rFont val="Angsana New"/>
        <family val="1"/>
      </rPr>
      <t>2560 - 2561</t>
    </r>
  </si>
  <si>
    <t>2560  ปริมาณก๊าซเรือนกระจก/เดือน (tCO2e)</t>
  </si>
  <si>
    <t>2561  ปริมาณก๊าซเรือนกระจก/เดือน (tCO2e)</t>
  </si>
  <si>
    <t>2561  เป้าหมาย  ลด 5 %(tCO2e)</t>
  </si>
  <si>
    <r>
      <t xml:space="preserve">2561  ก๊าซเรือนกระจก </t>
    </r>
    <r>
      <rPr>
        <b/>
        <sz val="16"/>
        <color indexed="10"/>
        <rFont val="Angsana New"/>
        <family val="1"/>
      </rPr>
      <t>เพิ่ม</t>
    </r>
    <r>
      <rPr>
        <b/>
        <sz val="16"/>
        <color indexed="8"/>
        <rFont val="Angsana New"/>
        <family val="1"/>
      </rPr>
      <t>-ลด (%)</t>
    </r>
  </si>
  <si>
    <r>
      <t xml:space="preserve">2561  ก๊าซเรือนกระจก </t>
    </r>
    <r>
      <rPr>
        <b/>
        <sz val="16"/>
        <color indexed="10"/>
        <rFont val="Angsana New"/>
        <family val="1"/>
      </rPr>
      <t>เพิ่ม</t>
    </r>
    <r>
      <rPr>
        <b/>
        <sz val="16"/>
        <color indexed="8"/>
        <rFont val="Angsana New"/>
        <family val="1"/>
      </rPr>
      <t>-ลด (tCO2e)</t>
    </r>
  </si>
  <si>
    <t>2560  ปริมาณก๊าซเรือนกระจก/จำนวนพนักงาน</t>
  </si>
  <si>
    <t>2561  ปริมาณก๊าซเรือนกระจก/จำนวนพนักงาน</t>
  </si>
  <si>
    <t>2560  ปริมาณก๊าซเรือนกระจก/พื้นที่ (ตรม.)</t>
  </si>
  <si>
    <t>2561  ปริมาณก๊าซเรือนกระจก/พื้นที่ (ตรม.)</t>
  </si>
  <si>
    <t>ขยะของเสีย (ฝังกลบ)</t>
  </si>
  <si>
    <t>การปล่อยสารมีเทนจากระบบ septic tank</t>
  </si>
  <si>
    <t>การปล่อยสารมีเทนจากบ่อบำบัดน้ำเสียแบบไม่เติมอากาศ</t>
  </si>
  <si>
    <t>ปริมาณก๊าซเรือนกระจกที่ลดลง %  (tCO2e)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</si>
</sst>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_(* #,##0.00_);_(* \(#,##0.00\);_(* &quot;-&quot;??_);_(@_)"/>
    <numFmt numFmtId="189" formatCode="_-* #,##0_-;\-* #,##0_-;_-* &quot;-&quot;??_-;_-@_-"/>
    <numFmt numFmtId="190" formatCode="#,##0.00_ ;\-#,##0.00\ "/>
    <numFmt numFmtId="191" formatCode="0.00000"/>
    <numFmt numFmtId="192" formatCode="#,##0.0000"/>
    <numFmt numFmtId="193" formatCode="#,##0.000"/>
    <numFmt numFmtId="194" formatCode="0.0"/>
    <numFmt numFmtId="195" formatCode="#,##0.0"/>
  </numFmts>
  <fonts count="12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8"/>
      <color indexed="10"/>
      <name val="Angsana New"/>
      <family val="1"/>
    </font>
    <font>
      <b/>
      <sz val="9"/>
      <name val="Tahoma"/>
      <family val="2"/>
    </font>
    <font>
      <sz val="9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b/>
      <sz val="10"/>
      <name val="Angsana New"/>
      <family val="1"/>
    </font>
    <font>
      <sz val="18"/>
      <color indexed="8"/>
      <name val="Cordia New"/>
      <family val="2"/>
    </font>
    <font>
      <sz val="10"/>
      <color indexed="8"/>
      <name val="Tahoma"/>
      <family val="2"/>
    </font>
    <font>
      <b/>
      <sz val="14"/>
      <color indexed="63"/>
      <name val="Tahoma"/>
      <family val="2"/>
    </font>
    <font>
      <sz val="9"/>
      <color indexed="63"/>
      <name val="Tahoma"/>
      <family val="2"/>
    </font>
    <font>
      <sz val="9.9"/>
      <color indexed="8"/>
      <name val="Cordia New"/>
      <family val="2"/>
    </font>
    <font>
      <sz val="7.8"/>
      <color indexed="63"/>
      <name val="Tahoma"/>
      <family val="2"/>
    </font>
    <font>
      <sz val="5.75"/>
      <color indexed="63"/>
      <name val="Tahoma"/>
      <family val="2"/>
    </font>
    <font>
      <sz val="4.8"/>
      <color indexed="63"/>
      <name val="Tahoma"/>
      <family val="2"/>
    </font>
    <font>
      <sz val="9.1"/>
      <color indexed="8"/>
      <name val="Cordia New"/>
      <family val="2"/>
    </font>
    <font>
      <sz val="7.15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Cordia New"/>
      <family val="2"/>
    </font>
    <font>
      <b/>
      <sz val="20"/>
      <color indexed="10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b/>
      <u val="single"/>
      <sz val="16"/>
      <color indexed="8"/>
      <name val="Cordia New"/>
      <family val="2"/>
    </font>
    <font>
      <b/>
      <sz val="20"/>
      <color indexed="8"/>
      <name val="Cordia New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sz val="18"/>
      <color indexed="40"/>
      <name val="Angsana New"/>
      <family val="1"/>
    </font>
    <font>
      <b/>
      <sz val="18"/>
      <color indexed="17"/>
      <name val="Angsana New"/>
      <family val="1"/>
    </font>
    <font>
      <sz val="18"/>
      <color indexed="17"/>
      <name val="Angsana New"/>
      <family val="1"/>
    </font>
    <font>
      <sz val="18"/>
      <color indexed="60"/>
      <name val="Angsana New"/>
      <family val="1"/>
    </font>
    <font>
      <sz val="18"/>
      <color indexed="36"/>
      <name val="Angsana New"/>
      <family val="1"/>
    </font>
    <font>
      <b/>
      <sz val="18"/>
      <color indexed="36"/>
      <name val="Angsana New"/>
      <family val="1"/>
    </font>
    <font>
      <b/>
      <sz val="18"/>
      <color indexed="60"/>
      <name val="Angsana New"/>
      <family val="1"/>
    </font>
    <font>
      <b/>
      <sz val="18"/>
      <color indexed="40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40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b/>
      <sz val="14"/>
      <color indexed="63"/>
      <name val="Calibri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4"/>
      <color indexed="63"/>
      <name val="Calibri"/>
      <family val="2"/>
    </font>
    <font>
      <b/>
      <sz val="12"/>
      <color indexed="63"/>
      <name val="Tahoma"/>
      <family val="2"/>
    </font>
    <font>
      <b/>
      <sz val="18"/>
      <color indexed="63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Cordia New"/>
      <family val="2"/>
    </font>
    <font>
      <b/>
      <sz val="20"/>
      <color rgb="FFFF0000"/>
      <name val="Cordia New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u val="single"/>
      <sz val="16"/>
      <color theme="1"/>
      <name val="Cordia New"/>
      <family val="2"/>
    </font>
    <font>
      <b/>
      <sz val="20"/>
      <color theme="1"/>
      <name val="Cordia New"/>
      <family val="2"/>
    </font>
    <font>
      <sz val="16"/>
      <color rgb="FF000000"/>
      <name val="Cordia New"/>
      <family val="2"/>
    </font>
    <font>
      <b/>
      <sz val="16"/>
      <color rgb="FF000000"/>
      <name val="Cordia New"/>
      <family val="2"/>
    </font>
    <font>
      <sz val="18"/>
      <color rgb="FFFF0000"/>
      <name val="Angsana New"/>
      <family val="1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8"/>
      <color rgb="FF00B0F0"/>
      <name val="Angsana New"/>
      <family val="1"/>
    </font>
    <font>
      <b/>
      <sz val="18"/>
      <color rgb="FF00B050"/>
      <name val="Angsana New"/>
      <family val="1"/>
    </font>
    <font>
      <sz val="18"/>
      <color rgb="FF00B050"/>
      <name val="Angsana New"/>
      <family val="1"/>
    </font>
    <font>
      <sz val="18"/>
      <color rgb="FFC00000"/>
      <name val="Angsana New"/>
      <family val="1"/>
    </font>
    <font>
      <sz val="18"/>
      <color rgb="FF7030A0"/>
      <name val="Angsana New"/>
      <family val="1"/>
    </font>
    <font>
      <b/>
      <sz val="18"/>
      <color rgb="FF7030A0"/>
      <name val="Angsana New"/>
      <family val="1"/>
    </font>
    <font>
      <b/>
      <sz val="16"/>
      <color rgb="FFFF0000"/>
      <name val="Angsana New"/>
      <family val="1"/>
    </font>
    <font>
      <b/>
      <sz val="18"/>
      <color rgb="FFC00000"/>
      <name val="Angsana New"/>
      <family val="1"/>
    </font>
    <font>
      <b/>
      <sz val="18"/>
      <color rgb="FF00B0F0"/>
      <name val="Angsana New"/>
      <family val="1"/>
    </font>
    <font>
      <b/>
      <sz val="16"/>
      <color rgb="FF0070C0"/>
      <name val="Angsana New"/>
      <family val="1"/>
    </font>
    <font>
      <b/>
      <sz val="16"/>
      <color rgb="FF00B050"/>
      <name val="Angsana New"/>
      <family val="1"/>
    </font>
    <font>
      <b/>
      <sz val="16"/>
      <color theme="1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sz val="10"/>
      <color theme="1"/>
      <name val="Angsana New"/>
      <family val="1"/>
    </font>
    <font>
      <sz val="16"/>
      <color rgb="FF00B0F0"/>
      <name val="Angsana New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188" fontId="2" fillId="0" borderId="0" applyFont="0" applyFill="0" applyBorder="0" applyAlignment="0" applyProtection="0"/>
    <xf numFmtId="0" fontId="2" fillId="0" borderId="0">
      <alignment/>
      <protection/>
    </xf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1" borderId="2" applyNumberFormat="0" applyAlignment="0" applyProtection="0"/>
    <xf numFmtId="0" fontId="84" fillId="0" borderId="3" applyNumberFormat="0" applyFill="0" applyAlignment="0" applyProtection="0"/>
    <xf numFmtId="0" fontId="85" fillId="22" borderId="0" applyNumberFormat="0" applyBorder="0" applyAlignment="0" applyProtection="0"/>
    <xf numFmtId="0" fontId="2" fillId="0" borderId="0">
      <alignment/>
      <protection/>
    </xf>
    <xf numFmtId="0" fontId="86" fillId="23" borderId="1" applyNumberFormat="0" applyAlignment="0" applyProtection="0"/>
    <xf numFmtId="0" fontId="87" fillId="24" borderId="0" applyNumberFormat="0" applyBorder="0" applyAlignment="0" applyProtection="0"/>
    <xf numFmtId="9" fontId="0" fillId="0" borderId="0" applyFont="0" applyFill="0" applyBorder="0" applyAlignment="0" applyProtection="0"/>
    <xf numFmtId="0" fontId="88" fillId="0" borderId="4" applyNumberFormat="0" applyFill="0" applyAlignment="0" applyProtection="0"/>
    <xf numFmtId="0" fontId="8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90" fillId="20" borderId="5" applyNumberFormat="0" applyAlignment="0" applyProtection="0"/>
    <xf numFmtId="0" fontId="0" fillId="32" borderId="6" applyNumberFormat="0" applyFont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94" fillId="33" borderId="10" xfId="34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34" applyFont="1" applyFill="1" applyBorder="1">
      <alignment/>
      <protection/>
    </xf>
    <xf numFmtId="0" fontId="95" fillId="34" borderId="0" xfId="0" applyFont="1" applyFill="1" applyAlignment="1">
      <alignment horizontal="center"/>
    </xf>
    <xf numFmtId="0" fontId="96" fillId="34" borderId="0" xfId="0" applyFont="1" applyFill="1" applyAlignment="1">
      <alignment/>
    </xf>
    <xf numFmtId="0" fontId="97" fillId="34" borderId="0" xfId="0" applyFont="1" applyFill="1" applyAlignment="1">
      <alignment horizontal="center"/>
    </xf>
    <xf numFmtId="0" fontId="4" fillId="34" borderId="0" xfId="34" applyFont="1" applyFill="1">
      <alignment/>
      <protection/>
    </xf>
    <xf numFmtId="0" fontId="98" fillId="34" borderId="0" xfId="0" applyFont="1" applyFill="1" applyAlignment="1">
      <alignment/>
    </xf>
    <xf numFmtId="0" fontId="96" fillId="34" borderId="0" xfId="0" applyFont="1" applyFill="1" applyAlignment="1">
      <alignment wrapText="1"/>
    </xf>
    <xf numFmtId="0" fontId="96" fillId="34" borderId="0" xfId="0" applyFont="1" applyFill="1" applyBorder="1" applyAlignment="1">
      <alignment/>
    </xf>
    <xf numFmtId="0" fontId="96" fillId="34" borderId="0" xfId="0" applyFont="1" applyFill="1" applyBorder="1" applyAlignment="1">
      <alignment horizontal="center"/>
    </xf>
    <xf numFmtId="0" fontId="96" fillId="34" borderId="0" xfId="0" applyFont="1" applyFill="1" applyBorder="1" applyAlignment="1">
      <alignment horizontal="center" vertical="center" wrapText="1"/>
    </xf>
    <xf numFmtId="0" fontId="96" fillId="34" borderId="0" xfId="0" applyFont="1" applyFill="1" applyBorder="1" applyAlignment="1">
      <alignment horizontal="center" vertical="center"/>
    </xf>
    <xf numFmtId="0" fontId="97" fillId="34" borderId="10" xfId="0" applyFont="1" applyFill="1" applyBorder="1" applyAlignment="1">
      <alignment horizontal="center"/>
    </xf>
    <xf numFmtId="43" fontId="94" fillId="34" borderId="10" xfId="0" applyNumberFormat="1" applyFont="1" applyFill="1" applyBorder="1" applyAlignment="1">
      <alignment vertical="center"/>
    </xf>
    <xf numFmtId="0" fontId="96" fillId="34" borderId="10" xfId="0" applyFont="1" applyFill="1" applyBorder="1" applyAlignment="1">
      <alignment horizontal="center"/>
    </xf>
    <xf numFmtId="189" fontId="96" fillId="34" borderId="10" xfId="0" applyNumberFormat="1" applyFont="1" applyFill="1" applyBorder="1" applyAlignment="1">
      <alignment horizontal="center"/>
    </xf>
    <xf numFmtId="43" fontId="96" fillId="34" borderId="0" xfId="0" applyNumberFormat="1" applyFont="1" applyFill="1" applyAlignment="1">
      <alignment vertical="center"/>
    </xf>
    <xf numFmtId="0" fontId="4" fillId="3" borderId="10" xfId="34" applyFont="1" applyFill="1" applyBorder="1">
      <alignment/>
      <protection/>
    </xf>
    <xf numFmtId="189" fontId="4" fillId="33" borderId="10" xfId="34" applyNumberFormat="1" applyFont="1" applyFill="1" applyBorder="1">
      <alignment/>
      <protection/>
    </xf>
    <xf numFmtId="0" fontId="99" fillId="35" borderId="0" xfId="0" applyFont="1" applyFill="1" applyAlignment="1">
      <alignment horizontal="center"/>
    </xf>
    <xf numFmtId="0" fontId="94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96" fillId="34" borderId="0" xfId="0" applyFont="1" applyFill="1" applyAlignment="1">
      <alignment horizontal="center"/>
    </xf>
    <xf numFmtId="0" fontId="100" fillId="36" borderId="0" xfId="0" applyFont="1" applyFill="1" applyAlignment="1">
      <alignment horizontal="left"/>
    </xf>
    <xf numFmtId="0" fontId="96" fillId="34" borderId="11" xfId="0" applyFont="1" applyFill="1" applyBorder="1" applyAlignment="1">
      <alignment horizontal="center"/>
    </xf>
    <xf numFmtId="0" fontId="96" fillId="33" borderId="10" xfId="0" applyFont="1" applyFill="1" applyBorder="1" applyAlignment="1">
      <alignment horizontal="center"/>
    </xf>
    <xf numFmtId="0" fontId="96" fillId="11" borderId="10" xfId="0" applyFont="1" applyFill="1" applyBorder="1" applyAlignment="1">
      <alignment horizontal="center"/>
    </xf>
    <xf numFmtId="0" fontId="101" fillId="36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16" borderId="10" xfId="0" applyFont="1" applyFill="1" applyBorder="1" applyAlignment="1">
      <alignment horizontal="center"/>
    </xf>
    <xf numFmtId="0" fontId="3" fillId="16" borderId="0" xfId="0" applyFont="1" applyFill="1" applyAlignment="1">
      <alignment horizont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top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horizontal="center" vertical="top" wrapText="1"/>
    </xf>
    <xf numFmtId="1" fontId="6" fillId="34" borderId="10" xfId="0" applyNumberFormat="1" applyFont="1" applyFill="1" applyBorder="1" applyAlignment="1">
      <alignment horizontal="center" vertical="top" wrapText="1"/>
    </xf>
    <xf numFmtId="4" fontId="6" fillId="34" borderId="0" xfId="0" applyNumberFormat="1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" vertical="center" shrinkToFit="1"/>
    </xf>
    <xf numFmtId="187" fontId="6" fillId="34" borderId="10" xfId="0" applyNumberFormat="1" applyFont="1" applyFill="1" applyBorder="1" applyAlignment="1">
      <alignment horizontal="right" vertical="center" wrapText="1" shrinkToFit="1"/>
    </xf>
    <xf numFmtId="0" fontId="102" fillId="34" borderId="0" xfId="0" applyFont="1" applyFill="1" applyAlignment="1">
      <alignment vertical="center"/>
    </xf>
    <xf numFmtId="0" fontId="103" fillId="34" borderId="10" xfId="0" applyFont="1" applyFill="1" applyBorder="1" applyAlignment="1">
      <alignment horizontal="center" vertical="center" wrapText="1"/>
    </xf>
    <xf numFmtId="0" fontId="102" fillId="34" borderId="10" xfId="0" applyFont="1" applyFill="1" applyBorder="1" applyAlignment="1">
      <alignment horizontal="right" vertical="center" wrapText="1"/>
    </xf>
    <xf numFmtId="0" fontId="102" fillId="34" borderId="0" xfId="0" applyFont="1" applyFill="1" applyBorder="1" applyAlignment="1">
      <alignment horizontal="center" vertical="center" wrapText="1"/>
    </xf>
    <xf numFmtId="0" fontId="102" fillId="34" borderId="10" xfId="0" applyFont="1" applyFill="1" applyBorder="1" applyAlignment="1">
      <alignment vertical="center"/>
    </xf>
    <xf numFmtId="0" fontId="103" fillId="34" borderId="0" xfId="0" applyFont="1" applyFill="1" applyBorder="1" applyAlignment="1">
      <alignment horizontal="center" vertical="center" wrapText="1"/>
    </xf>
    <xf numFmtId="0" fontId="102" fillId="34" borderId="0" xfId="0" applyFont="1" applyFill="1" applyBorder="1" applyAlignment="1">
      <alignment horizontal="center" vertical="top" wrapText="1"/>
    </xf>
    <xf numFmtId="1" fontId="102" fillId="34" borderId="0" xfId="0" applyNumberFormat="1" applyFont="1" applyFill="1" applyBorder="1" applyAlignment="1">
      <alignment horizontal="center" vertical="top" wrapText="1"/>
    </xf>
    <xf numFmtId="0" fontId="102" fillId="34" borderId="0" xfId="0" applyFont="1" applyFill="1" applyBorder="1" applyAlignment="1">
      <alignment vertical="center"/>
    </xf>
    <xf numFmtId="4" fontId="102" fillId="34" borderId="0" xfId="0" applyNumberFormat="1" applyFont="1" applyFill="1" applyBorder="1" applyAlignment="1">
      <alignment horizontal="center" vertical="top" wrapText="1"/>
    </xf>
    <xf numFmtId="0" fontId="104" fillId="34" borderId="0" xfId="0" applyFont="1" applyFill="1" applyAlignment="1">
      <alignment vertical="center"/>
    </xf>
    <xf numFmtId="0" fontId="104" fillId="34" borderId="10" xfId="0" applyFont="1" applyFill="1" applyBorder="1" applyAlignment="1">
      <alignment horizontal="center" vertical="center" wrapText="1"/>
    </xf>
    <xf numFmtId="0" fontId="104" fillId="34" borderId="10" xfId="0" applyFont="1" applyFill="1" applyBorder="1" applyAlignment="1">
      <alignment vertical="center"/>
    </xf>
    <xf numFmtId="0" fontId="104" fillId="34" borderId="0" xfId="0" applyFont="1" applyFill="1" applyAlignment="1">
      <alignment horizontal="right" vertical="center"/>
    </xf>
    <xf numFmtId="0" fontId="104" fillId="34" borderId="10" xfId="0" applyFont="1" applyFill="1" applyBorder="1" applyAlignment="1">
      <alignment horizontal="right" vertical="center"/>
    </xf>
    <xf numFmtId="0" fontId="105" fillId="34" borderId="0" xfId="0" applyFont="1" applyFill="1" applyBorder="1" applyAlignment="1">
      <alignment horizontal="center" vertical="center" wrapText="1"/>
    </xf>
    <xf numFmtId="4" fontId="104" fillId="34" borderId="0" xfId="0" applyNumberFormat="1" applyFont="1" applyFill="1" applyBorder="1" applyAlignment="1">
      <alignment horizontal="center" vertical="top" wrapText="1"/>
    </xf>
    <xf numFmtId="0" fontId="104" fillId="34" borderId="0" xfId="0" applyFont="1" applyFill="1" applyBorder="1" applyAlignment="1">
      <alignment horizontal="center" vertical="top" wrapText="1"/>
    </xf>
    <xf numFmtId="1" fontId="104" fillId="34" borderId="0" xfId="0" applyNumberFormat="1" applyFont="1" applyFill="1" applyBorder="1" applyAlignment="1">
      <alignment horizontal="center" vertical="top" wrapText="1"/>
    </xf>
    <xf numFmtId="0" fontId="105" fillId="34" borderId="10" xfId="0" applyFont="1" applyFill="1" applyBorder="1" applyAlignment="1">
      <alignment horizontal="center" vertical="center" shrinkToFit="1"/>
    </xf>
    <xf numFmtId="0" fontId="103" fillId="34" borderId="10" xfId="0" applyFont="1" applyFill="1" applyBorder="1" applyAlignment="1">
      <alignment horizontal="center" vertical="center" shrinkToFit="1"/>
    </xf>
    <xf numFmtId="0" fontId="106" fillId="34" borderId="10" xfId="0" applyFont="1" applyFill="1" applyBorder="1" applyAlignment="1">
      <alignment vertical="center" wrapText="1"/>
    </xf>
    <xf numFmtId="187" fontId="106" fillId="34" borderId="10" xfId="0" applyNumberFormat="1" applyFont="1" applyFill="1" applyBorder="1" applyAlignment="1">
      <alignment horizontal="right" vertical="center" wrapText="1" shrinkToFit="1"/>
    </xf>
    <xf numFmtId="4" fontId="6" fillId="33" borderId="10" xfId="0" applyNumberFormat="1" applyFont="1" applyFill="1" applyBorder="1" applyAlignment="1">
      <alignment vertical="center"/>
    </xf>
    <xf numFmtId="0" fontId="103" fillId="34" borderId="13" xfId="0" applyFont="1" applyFill="1" applyBorder="1" applyAlignment="1">
      <alignment horizontal="centerContinuous" vertical="center"/>
    </xf>
    <xf numFmtId="0" fontId="105" fillId="34" borderId="13" xfId="0" applyFont="1" applyFill="1" applyBorder="1" applyAlignment="1">
      <alignment horizontal="centerContinuous" vertical="center"/>
    </xf>
    <xf numFmtId="0" fontId="107" fillId="34" borderId="14" xfId="0" applyFont="1" applyFill="1" applyBorder="1" applyAlignment="1">
      <alignment horizontal="centerContinuous" vertical="center"/>
    </xf>
    <xf numFmtId="4" fontId="5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/>
    </xf>
    <xf numFmtId="4" fontId="102" fillId="33" borderId="10" xfId="0" applyNumberFormat="1" applyFont="1" applyFill="1" applyBorder="1" applyAlignment="1">
      <alignment horizontal="right" vertical="center" shrinkToFit="1"/>
    </xf>
    <xf numFmtId="4" fontId="6" fillId="33" borderId="10" xfId="0" applyNumberFormat="1" applyFont="1" applyFill="1" applyBorder="1" applyAlignment="1">
      <alignment horizontal="center" vertical="center" shrinkToFi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 shrinkToFit="1"/>
    </xf>
    <xf numFmtId="4" fontId="107" fillId="34" borderId="10" xfId="0" applyNumberFormat="1" applyFont="1" applyFill="1" applyBorder="1" applyAlignment="1">
      <alignment vertical="center" wrapText="1"/>
    </xf>
    <xf numFmtId="4" fontId="106" fillId="34" borderId="10" xfId="0" applyNumberFormat="1" applyFont="1" applyFill="1" applyBorder="1" applyAlignment="1">
      <alignment horizontal="center" vertical="center" wrapText="1"/>
    </xf>
    <xf numFmtId="4" fontId="106" fillId="34" borderId="10" xfId="0" applyNumberFormat="1" applyFont="1" applyFill="1" applyBorder="1" applyAlignment="1">
      <alignment vertical="center"/>
    </xf>
    <xf numFmtId="4" fontId="106" fillId="34" borderId="0" xfId="0" applyNumberFormat="1" applyFont="1" applyFill="1" applyAlignment="1">
      <alignment vertical="center"/>
    </xf>
    <xf numFmtId="4" fontId="106" fillId="34" borderId="10" xfId="0" applyNumberFormat="1" applyFont="1" applyFill="1" applyBorder="1" applyAlignment="1">
      <alignment horizontal="center" vertical="center"/>
    </xf>
    <xf numFmtId="4" fontId="107" fillId="34" borderId="10" xfId="0" applyNumberFormat="1" applyFont="1" applyFill="1" applyBorder="1" applyAlignment="1">
      <alignment vertical="top" wrapText="1"/>
    </xf>
    <xf numFmtId="4" fontId="106" fillId="34" borderId="10" xfId="0" applyNumberFormat="1" applyFont="1" applyFill="1" applyBorder="1" applyAlignment="1">
      <alignment horizontal="center" vertical="top" wrapText="1" shrinkToFit="1"/>
    </xf>
    <xf numFmtId="4" fontId="106" fillId="34" borderId="10" xfId="0" applyNumberFormat="1" applyFont="1" applyFill="1" applyBorder="1" applyAlignment="1">
      <alignment vertical="center" wrapText="1"/>
    </xf>
    <xf numFmtId="0" fontId="106" fillId="0" borderId="0" xfId="0" applyFont="1" applyFill="1" applyAlignment="1">
      <alignment vertical="center"/>
    </xf>
    <xf numFmtId="4" fontId="106" fillId="0" borderId="0" xfId="0" applyNumberFormat="1" applyFont="1" applyFill="1" applyBorder="1" applyAlignment="1">
      <alignment horizontal="center" vertical="center" wrapText="1"/>
    </xf>
    <xf numFmtId="0" fontId="104" fillId="34" borderId="10" xfId="0" applyFont="1" applyFill="1" applyBorder="1" applyAlignment="1">
      <alignment horizontal="center" vertical="center"/>
    </xf>
    <xf numFmtId="4" fontId="106" fillId="34" borderId="10" xfId="0" applyNumberFormat="1" applyFont="1" applyFill="1" applyBorder="1" applyAlignment="1">
      <alignment horizontal="right" vertical="center"/>
    </xf>
    <xf numFmtId="4" fontId="104" fillId="33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0" fontId="106" fillId="34" borderId="10" xfId="0" applyFont="1" applyFill="1" applyBorder="1" applyAlignment="1">
      <alignment horizontal="center" vertical="center" shrinkToFit="1"/>
    </xf>
    <xf numFmtId="0" fontId="106" fillId="34" borderId="10" xfId="0" applyFont="1" applyFill="1" applyBorder="1" applyAlignment="1">
      <alignment horizontal="center" vertical="center"/>
    </xf>
    <xf numFmtId="4" fontId="106" fillId="34" borderId="10" xfId="0" applyNumberFormat="1" applyFont="1" applyFill="1" applyBorder="1" applyAlignment="1">
      <alignment horizontal="center" vertical="center" shrinkToFit="1"/>
    </xf>
    <xf numFmtId="187" fontId="6" fillId="34" borderId="10" xfId="0" applyNumberFormat="1" applyFont="1" applyFill="1" applyBorder="1" applyAlignment="1">
      <alignment horizontal="center" vertical="center" shrinkToFit="1"/>
    </xf>
    <xf numFmtId="187" fontId="102" fillId="33" borderId="10" xfId="0" applyNumberFormat="1" applyFont="1" applyFill="1" applyBorder="1" applyAlignment="1">
      <alignment horizontal="right" vertical="center" wrapText="1" shrinkToFit="1"/>
    </xf>
    <xf numFmtId="187" fontId="106" fillId="34" borderId="10" xfId="0" applyNumberFormat="1" applyFont="1" applyFill="1" applyBorder="1" applyAlignment="1">
      <alignment horizontal="right" vertical="top" wrapText="1" shrinkToFit="1"/>
    </xf>
    <xf numFmtId="187" fontId="102" fillId="33" borderId="10" xfId="0" applyNumberFormat="1" applyFont="1" applyFill="1" applyBorder="1" applyAlignment="1">
      <alignment horizontal="right" vertical="center" shrinkToFit="1"/>
    </xf>
    <xf numFmtId="4" fontId="94" fillId="34" borderId="10" xfId="0" applyNumberFormat="1" applyFont="1" applyFill="1" applyBorder="1" applyAlignment="1">
      <alignment horizontal="center"/>
    </xf>
    <xf numFmtId="0" fontId="106" fillId="33" borderId="10" xfId="0" applyFont="1" applyFill="1" applyBorder="1" applyAlignment="1">
      <alignment horizontal="center" vertical="center" shrinkToFit="1"/>
    </xf>
    <xf numFmtId="0" fontId="107" fillId="33" borderId="10" xfId="0" applyFont="1" applyFill="1" applyBorder="1" applyAlignment="1">
      <alignment vertical="center" shrinkToFit="1"/>
    </xf>
    <xf numFmtId="0" fontId="106" fillId="33" borderId="10" xfId="0" applyFont="1" applyFill="1" applyBorder="1" applyAlignment="1">
      <alignment vertical="center" shrinkToFit="1"/>
    </xf>
    <xf numFmtId="192" fontId="102" fillId="33" borderId="10" xfId="0" applyNumberFormat="1" applyFont="1" applyFill="1" applyBorder="1" applyAlignment="1">
      <alignment horizontal="right" vertical="center" shrinkToFit="1"/>
    </xf>
    <xf numFmtId="4" fontId="106" fillId="33" borderId="10" xfId="0" applyNumberFormat="1" applyFont="1" applyFill="1" applyBorder="1" applyAlignment="1">
      <alignment vertical="center" shrinkToFit="1"/>
    </xf>
    <xf numFmtId="2" fontId="104" fillId="33" borderId="10" xfId="0" applyNumberFormat="1" applyFont="1" applyFill="1" applyBorder="1" applyAlignment="1">
      <alignment horizontal="center" vertical="center" shrinkToFit="1"/>
    </xf>
    <xf numFmtId="2" fontId="102" fillId="33" borderId="10" xfId="0" applyNumberFormat="1" applyFont="1" applyFill="1" applyBorder="1" applyAlignment="1">
      <alignment horizontal="right" vertical="center" shrinkToFit="1"/>
    </xf>
    <xf numFmtId="4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103" fillId="37" borderId="10" xfId="0" applyFont="1" applyFill="1" applyBorder="1" applyAlignment="1">
      <alignment horizontal="centerContinuous" vertical="center"/>
    </xf>
    <xf numFmtId="0" fontId="102" fillId="37" borderId="10" xfId="0" applyFont="1" applyFill="1" applyBorder="1" applyAlignment="1">
      <alignment horizontal="centerContinuous" vertical="center"/>
    </xf>
    <xf numFmtId="192" fontId="102" fillId="37" borderId="10" xfId="0" applyNumberFormat="1" applyFont="1" applyFill="1" applyBorder="1" applyAlignment="1">
      <alignment horizontal="centerContinuous" vertical="center" wrapText="1" shrinkToFit="1"/>
    </xf>
    <xf numFmtId="0" fontId="102" fillId="37" borderId="10" xfId="0" applyFont="1" applyFill="1" applyBorder="1" applyAlignment="1">
      <alignment horizontal="centerContinuous" vertical="center" shrinkToFit="1"/>
    </xf>
    <xf numFmtId="4" fontId="104" fillId="37" borderId="10" xfId="0" applyNumberFormat="1" applyFont="1" applyFill="1" applyBorder="1" applyAlignment="1">
      <alignment horizontal="centerContinuous" vertical="center" shrinkToFit="1"/>
    </xf>
    <xf numFmtId="4" fontId="102" fillId="37" borderId="10" xfId="0" applyNumberFormat="1" applyFont="1" applyFill="1" applyBorder="1" applyAlignment="1">
      <alignment horizontal="center" vertical="center" shrinkToFit="1"/>
    </xf>
    <xf numFmtId="4" fontId="108" fillId="37" borderId="10" xfId="0" applyNumberFormat="1" applyFont="1" applyFill="1" applyBorder="1" applyAlignment="1">
      <alignment horizontal="centerContinuous" vertical="center" shrinkToFit="1"/>
    </xf>
    <xf numFmtId="4" fontId="102" fillId="37" borderId="10" xfId="0" applyNumberFormat="1" applyFont="1" applyFill="1" applyBorder="1" applyAlignment="1">
      <alignment horizontal="right" vertical="center" shrinkToFit="1"/>
    </xf>
    <xf numFmtId="4" fontId="102" fillId="37" borderId="10" xfId="0" applyNumberFormat="1" applyFont="1" applyFill="1" applyBorder="1" applyAlignment="1">
      <alignment horizontal="centerContinuous" vertical="center" shrinkToFit="1"/>
    </xf>
    <xf numFmtId="4" fontId="108" fillId="37" borderId="10" xfId="0" applyNumberFormat="1" applyFont="1" applyFill="1" applyBorder="1" applyAlignment="1">
      <alignment horizontal="center" vertical="center" shrinkToFit="1"/>
    </xf>
    <xf numFmtId="4" fontId="6" fillId="37" borderId="14" xfId="0" applyNumberFormat="1" applyFont="1" applyFill="1" applyBorder="1" applyAlignment="1">
      <alignment vertical="center" shrinkToFit="1"/>
    </xf>
    <xf numFmtId="0" fontId="106" fillId="37" borderId="11" xfId="0" applyFont="1" applyFill="1" applyBorder="1" applyAlignment="1">
      <alignment horizontal="center" vertical="center" wrapText="1"/>
    </xf>
    <xf numFmtId="187" fontId="106" fillId="0" borderId="0" xfId="0" applyNumberFormat="1" applyFont="1" applyFill="1" applyAlignment="1">
      <alignment vertical="center"/>
    </xf>
    <xf numFmtId="0" fontId="107" fillId="0" borderId="0" xfId="0" applyFont="1" applyAlignment="1">
      <alignment horizontal="centerContinuous" wrapText="1"/>
    </xf>
    <xf numFmtId="0" fontId="109" fillId="0" borderId="0" xfId="0" applyFont="1" applyAlignment="1">
      <alignment horizontal="centerContinuous"/>
    </xf>
    <xf numFmtId="0" fontId="110" fillId="0" borderId="0" xfId="0" applyFont="1" applyAlignment="1">
      <alignment horizontal="centerContinuous"/>
    </xf>
    <xf numFmtId="0" fontId="102" fillId="0" borderId="0" xfId="0" applyFont="1" applyAlignment="1">
      <alignment horizontal="centerContinuous"/>
    </xf>
    <xf numFmtId="0" fontId="108" fillId="0" borderId="0" xfId="0" applyFont="1" applyAlignment="1">
      <alignment horizontal="centerContinuous"/>
    </xf>
    <xf numFmtId="0" fontId="111" fillId="0" borderId="0" xfId="0" applyFont="1" applyAlignment="1">
      <alignment horizontal="centerContinuous"/>
    </xf>
    <xf numFmtId="0" fontId="112" fillId="0" borderId="0" xfId="0" applyFont="1" applyAlignment="1">
      <alignment horizontal="centerContinuous"/>
    </xf>
    <xf numFmtId="0" fontId="102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08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" fillId="34" borderId="10" xfId="44" applyFont="1" applyFill="1" applyBorder="1" applyAlignment="1">
      <alignment horizontal="center" vertical="center" wrapText="1"/>
      <protection/>
    </xf>
    <xf numFmtId="4" fontId="109" fillId="0" borderId="10" xfId="0" applyNumberFormat="1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6" fillId="0" borderId="0" xfId="0" applyFont="1" applyAlignment="1">
      <alignment horizontal="center" wrapText="1"/>
    </xf>
    <xf numFmtId="0" fontId="12" fillId="34" borderId="10" xfId="44" applyFont="1" applyFill="1" applyBorder="1" applyAlignment="1">
      <alignment shrinkToFit="1"/>
      <protection/>
    </xf>
    <xf numFmtId="193" fontId="110" fillId="0" borderId="10" xfId="0" applyNumberFormat="1" applyFont="1" applyBorder="1" applyAlignment="1">
      <alignment/>
    </xf>
    <xf numFmtId="4" fontId="102" fillId="0" borderId="10" xfId="0" applyNumberFormat="1" applyFont="1" applyBorder="1" applyAlignment="1">
      <alignment/>
    </xf>
    <xf numFmtId="4" fontId="108" fillId="0" borderId="10" xfId="0" applyNumberFormat="1" applyFont="1" applyBorder="1" applyAlignment="1">
      <alignment/>
    </xf>
    <xf numFmtId="4" fontId="111" fillId="0" borderId="10" xfId="0" applyNumberFormat="1" applyFont="1" applyBorder="1" applyAlignment="1">
      <alignment/>
    </xf>
    <xf numFmtId="4" fontId="112" fillId="0" borderId="10" xfId="0" applyNumberFormat="1" applyFont="1" applyBorder="1" applyAlignment="1">
      <alignment/>
    </xf>
    <xf numFmtId="2" fontId="112" fillId="0" borderId="10" xfId="0" applyNumberFormat="1" applyFont="1" applyBorder="1" applyAlignment="1">
      <alignment/>
    </xf>
    <xf numFmtId="0" fontId="114" fillId="34" borderId="10" xfId="44" applyFont="1" applyFill="1" applyBorder="1" applyAlignment="1">
      <alignment horizontal="center"/>
      <protection/>
    </xf>
    <xf numFmtId="4" fontId="109" fillId="0" borderId="10" xfId="0" applyNumberFormat="1" applyFont="1" applyBorder="1" applyAlignment="1">
      <alignment/>
    </xf>
    <xf numFmtId="4" fontId="115" fillId="0" borderId="10" xfId="0" applyNumberFormat="1" applyFont="1" applyBorder="1" applyAlignment="1">
      <alignment/>
    </xf>
    <xf numFmtId="4" fontId="116" fillId="0" borderId="10" xfId="0" applyNumberFormat="1" applyFont="1" applyBorder="1" applyAlignment="1">
      <alignment/>
    </xf>
    <xf numFmtId="4" fontId="113" fillId="0" borderId="10" xfId="0" applyNumberFormat="1" applyFont="1" applyBorder="1" applyAlignment="1">
      <alignment/>
    </xf>
    <xf numFmtId="0" fontId="117" fillId="34" borderId="10" xfId="44" applyFont="1" applyFill="1" applyBorder="1" applyAlignment="1">
      <alignment horizontal="center"/>
      <protection/>
    </xf>
    <xf numFmtId="4" fontId="103" fillId="0" borderId="10" xfId="0" applyNumberFormat="1" applyFont="1" applyBorder="1" applyAlignment="1">
      <alignment/>
    </xf>
    <xf numFmtId="0" fontId="5" fillId="34" borderId="0" xfId="44" applyFont="1" applyFill="1" applyAlignment="1">
      <alignment vertical="center"/>
      <protection/>
    </xf>
    <xf numFmtId="0" fontId="107" fillId="34" borderId="0" xfId="44" applyFont="1" applyFill="1" applyAlignment="1">
      <alignment vertical="center"/>
      <protection/>
    </xf>
    <xf numFmtId="0" fontId="13" fillId="34" borderId="0" xfId="44" applyFont="1" applyFill="1" applyAlignment="1">
      <alignment horizontal="right" vertical="center"/>
      <protection/>
    </xf>
    <xf numFmtId="0" fontId="14" fillId="34" borderId="0" xfId="44" applyFont="1" applyFill="1">
      <alignment/>
      <protection/>
    </xf>
    <xf numFmtId="0" fontId="5" fillId="34" borderId="0" xfId="44" applyFont="1" applyFill="1" applyAlignment="1">
      <alignment horizontal="centerContinuous" vertical="center"/>
      <protection/>
    </xf>
    <xf numFmtId="0" fontId="107" fillId="34" borderId="0" xfId="44" applyFont="1" applyFill="1" applyAlignment="1">
      <alignment horizontal="centerContinuous" vertical="center"/>
      <protection/>
    </xf>
    <xf numFmtId="0" fontId="5" fillId="34" borderId="0" xfId="44" applyFont="1" applyFill="1" applyAlignment="1">
      <alignment horizontal="left" vertical="center"/>
      <protection/>
    </xf>
    <xf numFmtId="0" fontId="5" fillId="34" borderId="0" xfId="44" applyFont="1" applyFill="1" applyAlignment="1">
      <alignment horizontal="center" vertical="center"/>
      <protection/>
    </xf>
    <xf numFmtId="0" fontId="107" fillId="34" borderId="0" xfId="44" applyFont="1" applyFill="1" applyAlignment="1">
      <alignment horizontal="center" vertical="center"/>
      <protection/>
    </xf>
    <xf numFmtId="0" fontId="117" fillId="34" borderId="10" xfId="44" applyFont="1" applyFill="1" applyBorder="1" applyAlignment="1">
      <alignment horizontal="center" vertical="center" wrapText="1"/>
      <protection/>
    </xf>
    <xf numFmtId="0" fontId="114" fillId="34" borderId="10" xfId="44" applyFont="1" applyFill="1" applyBorder="1" applyAlignment="1">
      <alignment horizontal="center" vertical="center" wrapText="1"/>
      <protection/>
    </xf>
    <xf numFmtId="0" fontId="118" fillId="34" borderId="10" xfId="44" applyFont="1" applyFill="1" applyBorder="1" applyAlignment="1">
      <alignment horizontal="center" vertical="center" wrapText="1"/>
      <protection/>
    </xf>
    <xf numFmtId="0" fontId="119" fillId="34" borderId="10" xfId="44" applyFont="1" applyFill="1" applyBorder="1" applyAlignment="1">
      <alignment horizontal="center" vertical="center" wrapText="1"/>
      <protection/>
    </xf>
    <xf numFmtId="0" fontId="119" fillId="33" borderId="10" xfId="44" applyFont="1" applyFill="1" applyBorder="1" applyAlignment="1">
      <alignment horizontal="center" vertical="center" wrapText="1"/>
      <protection/>
    </xf>
    <xf numFmtId="0" fontId="17" fillId="34" borderId="0" xfId="44" applyFont="1" applyFill="1" applyAlignment="1">
      <alignment vertical="center"/>
      <protection/>
    </xf>
    <xf numFmtId="4" fontId="120" fillId="34" borderId="10" xfId="44" applyNumberFormat="1" applyFont="1" applyFill="1" applyBorder="1" applyAlignment="1">
      <alignment horizontal="center"/>
      <protection/>
    </xf>
    <xf numFmtId="4" fontId="121" fillId="34" borderId="10" xfId="44" applyNumberFormat="1" applyFont="1" applyFill="1" applyBorder="1" applyAlignment="1">
      <alignment horizontal="center"/>
      <protection/>
    </xf>
    <xf numFmtId="4" fontId="122" fillId="34" borderId="10" xfId="44" applyNumberFormat="1" applyFont="1" applyFill="1" applyBorder="1" applyAlignment="1">
      <alignment horizontal="center"/>
      <protection/>
    </xf>
    <xf numFmtId="2" fontId="123" fillId="34" borderId="10" xfId="47" applyNumberFormat="1" applyFont="1" applyFill="1" applyBorder="1" applyAlignment="1">
      <alignment horizontal="center"/>
    </xf>
    <xf numFmtId="2" fontId="123" fillId="33" borderId="10" xfId="47" applyNumberFormat="1" applyFont="1" applyFill="1" applyBorder="1" applyAlignment="1">
      <alignment horizontal="center"/>
    </xf>
    <xf numFmtId="193" fontId="120" fillId="34" borderId="10" xfId="44" applyNumberFormat="1" applyFont="1" applyFill="1" applyBorder="1" applyAlignment="1">
      <alignment horizontal="center"/>
      <protection/>
    </xf>
    <xf numFmtId="193" fontId="121" fillId="34" borderId="10" xfId="44" applyNumberFormat="1" applyFont="1" applyFill="1" applyBorder="1" applyAlignment="1">
      <alignment horizontal="center"/>
      <protection/>
    </xf>
    <xf numFmtId="192" fontId="120" fillId="34" borderId="10" xfId="44" applyNumberFormat="1" applyFont="1" applyFill="1" applyBorder="1" applyAlignment="1">
      <alignment horizontal="center"/>
      <protection/>
    </xf>
    <xf numFmtId="192" fontId="121" fillId="34" borderId="10" xfId="44" applyNumberFormat="1" applyFont="1" applyFill="1" applyBorder="1" applyAlignment="1">
      <alignment horizontal="center"/>
      <protection/>
    </xf>
    <xf numFmtId="4" fontId="14" fillId="34" borderId="0" xfId="44" applyNumberFormat="1" applyFont="1" applyFill="1">
      <alignment/>
      <protection/>
    </xf>
    <xf numFmtId="2" fontId="121" fillId="34" borderId="10" xfId="47" applyNumberFormat="1" applyFont="1" applyFill="1" applyBorder="1" applyAlignment="1">
      <alignment horizontal="center"/>
    </xf>
    <xf numFmtId="2" fontId="121" fillId="33" borderId="10" xfId="47" applyNumberFormat="1" applyFont="1" applyFill="1" applyBorder="1" applyAlignment="1">
      <alignment horizontal="center"/>
    </xf>
    <xf numFmtId="2" fontId="117" fillId="34" borderId="10" xfId="44" applyNumberFormat="1" applyFont="1" applyFill="1" applyBorder="1" applyAlignment="1">
      <alignment horizontal="center"/>
      <protection/>
    </xf>
    <xf numFmtId="4" fontId="114" fillId="34" borderId="10" xfId="44" applyNumberFormat="1" applyFont="1" applyFill="1" applyBorder="1" applyAlignment="1">
      <alignment horizontal="center"/>
      <protection/>
    </xf>
    <xf numFmtId="4" fontId="118" fillId="34" borderId="10" xfId="44" applyNumberFormat="1" applyFont="1" applyFill="1" applyBorder="1" applyAlignment="1">
      <alignment horizontal="center"/>
      <protection/>
    </xf>
    <xf numFmtId="4" fontId="119" fillId="34" borderId="10" xfId="44" applyNumberFormat="1" applyFont="1" applyFill="1" applyBorder="1" applyAlignment="1">
      <alignment horizontal="center"/>
      <protection/>
    </xf>
    <xf numFmtId="4" fontId="119" fillId="33" borderId="10" xfId="44" applyNumberFormat="1" applyFont="1" applyFill="1" applyBorder="1" applyAlignment="1">
      <alignment horizontal="center"/>
      <protection/>
    </xf>
    <xf numFmtId="0" fontId="117" fillId="34" borderId="0" xfId="44" applyFont="1" applyFill="1" applyBorder="1" applyAlignment="1">
      <alignment horizontal="center"/>
      <protection/>
    </xf>
    <xf numFmtId="1" fontId="117" fillId="34" borderId="0" xfId="44" applyNumberFormat="1" applyFont="1" applyFill="1" applyBorder="1" applyAlignment="1">
      <alignment horizontal="center"/>
      <protection/>
    </xf>
    <xf numFmtId="4" fontId="117" fillId="34" borderId="0" xfId="44" applyNumberFormat="1" applyFont="1" applyFill="1" applyBorder="1" applyAlignment="1">
      <alignment horizontal="center"/>
      <protection/>
    </xf>
    <xf numFmtId="4" fontId="119" fillId="34" borderId="0" xfId="44" applyNumberFormat="1" applyFont="1" applyFill="1" applyBorder="1" applyAlignment="1">
      <alignment horizontal="center"/>
      <protection/>
    </xf>
    <xf numFmtId="0" fontId="12" fillId="34" borderId="0" xfId="44" applyFont="1" applyFill="1" applyBorder="1">
      <alignment/>
      <protection/>
    </xf>
    <xf numFmtId="194" fontId="12" fillId="34" borderId="0" xfId="44" applyNumberFormat="1" applyFont="1" applyFill="1" applyBorder="1">
      <alignment/>
      <protection/>
    </xf>
    <xf numFmtId="194" fontId="123" fillId="34" borderId="0" xfId="44" applyNumberFormat="1" applyFont="1" applyFill="1" applyBorder="1">
      <alignment/>
      <protection/>
    </xf>
    <xf numFmtId="0" fontId="123" fillId="34" borderId="0" xfId="44" applyFont="1" applyFill="1" applyBorder="1">
      <alignment/>
      <protection/>
    </xf>
    <xf numFmtId="0" fontId="124" fillId="34" borderId="0" xfId="44" applyFont="1" applyFill="1">
      <alignment/>
      <protection/>
    </xf>
    <xf numFmtId="192" fontId="105" fillId="34" borderId="10" xfId="0" applyNumberFormat="1" applyFont="1" applyFill="1" applyBorder="1" applyAlignment="1">
      <alignment horizontal="center" vertical="center" wrapText="1"/>
    </xf>
    <xf numFmtId="192" fontId="103" fillId="34" borderId="10" xfId="0" applyNumberFormat="1" applyFont="1" applyFill="1" applyBorder="1" applyAlignment="1">
      <alignment horizontal="center" vertical="center" wrapText="1"/>
    </xf>
    <xf numFmtId="4" fontId="104" fillId="34" borderId="10" xfId="0" applyNumberFormat="1" applyFont="1" applyFill="1" applyBorder="1" applyAlignment="1">
      <alignment horizontal="center" vertical="top" wrapText="1"/>
    </xf>
    <xf numFmtId="4" fontId="102" fillId="34" borderId="10" xfId="0" applyNumberFormat="1" applyFont="1" applyFill="1" applyBorder="1" applyAlignment="1">
      <alignment horizontal="center" vertical="top" wrapText="1"/>
    </xf>
    <xf numFmtId="4" fontId="104" fillId="34" borderId="10" xfId="0" applyNumberFormat="1" applyFont="1" applyFill="1" applyBorder="1" applyAlignment="1">
      <alignment horizontal="center" vertical="top" shrinkToFit="1"/>
    </xf>
    <xf numFmtId="4" fontId="102" fillId="34" borderId="10" xfId="0" applyNumberFormat="1" applyFont="1" applyFill="1" applyBorder="1" applyAlignment="1">
      <alignment horizontal="center" vertical="top" shrinkToFit="1"/>
    </xf>
    <xf numFmtId="4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4" fontId="106" fillId="0" borderId="0" xfId="0" applyNumberFormat="1" applyFont="1" applyAlignment="1">
      <alignment/>
    </xf>
    <xf numFmtId="4" fontId="102" fillId="34" borderId="10" xfId="0" applyNumberFormat="1" applyFont="1" applyFill="1" applyBorder="1" applyAlignment="1">
      <alignment horizontal="right" vertical="center"/>
    </xf>
    <xf numFmtId="0" fontId="102" fillId="34" borderId="10" xfId="0" applyFont="1" applyFill="1" applyBorder="1" applyAlignment="1">
      <alignment horizontal="center" vertical="center"/>
    </xf>
    <xf numFmtId="2" fontId="107" fillId="33" borderId="10" xfId="0" applyNumberFormat="1" applyFont="1" applyFill="1" applyBorder="1" applyAlignment="1">
      <alignment vertical="center"/>
    </xf>
    <xf numFmtId="2" fontId="107" fillId="33" borderId="10" xfId="0" applyNumberFormat="1" applyFont="1" applyFill="1" applyBorder="1" applyAlignment="1">
      <alignment vertical="center" shrinkToFit="1"/>
    </xf>
    <xf numFmtId="2" fontId="106" fillId="33" borderId="10" xfId="0" applyNumberFormat="1" applyFont="1" applyFill="1" applyBorder="1" applyAlignment="1">
      <alignment horizontal="right" vertical="center" shrinkToFit="1"/>
    </xf>
    <xf numFmtId="2" fontId="106" fillId="33" borderId="10" xfId="0" applyNumberFormat="1" applyFont="1" applyFill="1" applyBorder="1" applyAlignment="1">
      <alignment horizontal="center" vertical="center" shrinkToFit="1"/>
    </xf>
    <xf numFmtId="2" fontId="106" fillId="33" borderId="10" xfId="0" applyNumberFormat="1" applyFont="1" applyFill="1" applyBorder="1" applyAlignment="1">
      <alignment horizontal="center" vertical="center"/>
    </xf>
    <xf numFmtId="2" fontId="102" fillId="33" borderId="10" xfId="0" applyNumberFormat="1" applyFont="1" applyFill="1" applyBorder="1" applyAlignment="1">
      <alignment horizontal="right" vertical="center"/>
    </xf>
    <xf numFmtId="2" fontId="104" fillId="33" borderId="10" xfId="0" applyNumberFormat="1" applyFont="1" applyFill="1" applyBorder="1" applyAlignment="1">
      <alignment horizontal="center" vertical="center"/>
    </xf>
    <xf numFmtId="2" fontId="104" fillId="33" borderId="10" xfId="0" applyNumberFormat="1" applyFont="1" applyFill="1" applyBorder="1" applyAlignment="1">
      <alignment horizontal="center"/>
    </xf>
    <xf numFmtId="4" fontId="106" fillId="33" borderId="10" xfId="0" applyNumberFormat="1" applyFont="1" applyFill="1" applyBorder="1" applyAlignment="1">
      <alignment horizontal="center" vertical="center" wrapText="1"/>
    </xf>
    <xf numFmtId="1" fontId="94" fillId="34" borderId="10" xfId="0" applyNumberFormat="1" applyFont="1" applyFill="1" applyBorder="1" applyAlignment="1">
      <alignment horizontal="center"/>
    </xf>
    <xf numFmtId="193" fontId="117" fillId="34" borderId="10" xfId="44" applyNumberFormat="1" applyFont="1" applyFill="1" applyBorder="1" applyAlignment="1">
      <alignment horizontal="center"/>
      <protection/>
    </xf>
    <xf numFmtId="193" fontId="114" fillId="34" borderId="10" xfId="44" applyNumberFormat="1" applyFont="1" applyFill="1" applyBorder="1" applyAlignment="1">
      <alignment horizontal="center"/>
      <protection/>
    </xf>
    <xf numFmtId="192" fontId="117" fillId="34" borderId="10" xfId="44" applyNumberFormat="1" applyFont="1" applyFill="1" applyBorder="1" applyAlignment="1">
      <alignment horizontal="center"/>
      <protection/>
    </xf>
    <xf numFmtId="192" fontId="114" fillId="34" borderId="10" xfId="44" applyNumberFormat="1" applyFont="1" applyFill="1" applyBorder="1" applyAlignment="1">
      <alignment horizontal="center"/>
      <protection/>
    </xf>
    <xf numFmtId="4" fontId="103" fillId="0" borderId="10" xfId="0" applyNumberFormat="1" applyFont="1" applyBorder="1" applyAlignment="1">
      <alignment horizontal="center" vertical="center" wrapText="1"/>
    </xf>
    <xf numFmtId="4" fontId="116" fillId="0" borderId="10" xfId="0" applyNumberFormat="1" applyFont="1" applyBorder="1" applyAlignment="1">
      <alignment horizontal="center" vertical="center" wrapText="1"/>
    </xf>
    <xf numFmtId="4" fontId="115" fillId="0" borderId="10" xfId="0" applyNumberFormat="1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/>
    </xf>
    <xf numFmtId="192" fontId="116" fillId="34" borderId="10" xfId="0" applyNumberFormat="1" applyFont="1" applyFill="1" applyBorder="1" applyAlignment="1">
      <alignment horizontal="center" vertical="center" wrapText="1"/>
    </xf>
    <xf numFmtId="2" fontId="125" fillId="34" borderId="10" xfId="47" applyNumberFormat="1" applyFont="1" applyFill="1" applyBorder="1" applyAlignment="1">
      <alignment horizontal="center"/>
    </xf>
    <xf numFmtId="4" fontId="108" fillId="34" borderId="10" xfId="0" applyNumberFormat="1" applyFont="1" applyFill="1" applyBorder="1" applyAlignment="1">
      <alignment horizontal="center" vertical="top" shrinkToFi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97" fillId="34" borderId="0" xfId="0" applyFont="1" applyFill="1" applyAlignment="1">
      <alignment horizontal="left" vertical="center" wrapText="1"/>
    </xf>
    <xf numFmtId="0" fontId="97" fillId="34" borderId="0" xfId="0" applyFont="1" applyFill="1" applyAlignment="1">
      <alignment horizontal="left" vertical="center"/>
    </xf>
    <xf numFmtId="0" fontId="107" fillId="0" borderId="1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186"/>
          <c:w val="0.91325"/>
          <c:h val="0.82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cat>
            <c:strRef>
              <c:f>สรุปการคำนวณ!$B$28:$B$30</c:f>
              <c:strCache/>
            </c:strRef>
          </c:cat>
          <c:val>
            <c:numRef>
              <c:f>สรุปการคำนวณ!$C$28:$C$30</c:f>
              <c:numCache/>
            </c:numRef>
          </c:val>
          <c:shape val="box"/>
        </c:ser>
        <c:shape val="box"/>
        <c:axId val="4002339"/>
        <c:axId val="36021052"/>
      </c:bar3DChart>
      <c:catAx>
        <c:axId val="40023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25"/>
          <c:y val="0.4105"/>
          <c:w val="0.088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ปริมาณการปล่อยก๊าซเรือนกระจก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2561 (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tCO2)</a:t>
            </a:r>
          </a:p>
        </c:rich>
      </c:tx>
      <c:layout>
        <c:manualLayout>
          <c:xMode val="factor"/>
          <c:yMode val="factor"/>
          <c:x val="-0.001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05"/>
          <c:y val="0.2255"/>
          <c:w val="0.395"/>
          <c:h val="0.631"/>
        </c:manualLayout>
      </c:layout>
      <c:pieChart>
        <c:varyColors val="1"/>
        <c:ser>
          <c:idx val="0"/>
          <c:order val="0"/>
          <c:tx>
            <c:strRef>
              <c:f>'ก๊าซเรือนกระจก-แยกตามประเภท'!$D$3</c:f>
              <c:strCache>
                <c:ptCount val="1"/>
                <c:pt idx="0">
                  <c:v>GHG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'ก๊าซเรือนกระจก-แยกตามประเภท'!$B$4:$B$6</c:f>
              <c:strCache/>
            </c:strRef>
          </c:cat>
          <c:val>
            <c:numRef>
              <c:f>'ก๊าซเรือนกระจก-แยกตามประเภท'!$D$4:$D$6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5"/>
          <c:y val="0.88225"/>
          <c:w val="0.576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เปรียบเทียบปริมาณการปล่อยก๊าซเรือนกระจก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2560- 2561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(tCO2)</a:t>
            </a:r>
          </a:p>
        </c:rich>
      </c:tx>
      <c:layout>
        <c:manualLayout>
          <c:xMode val="factor"/>
          <c:yMode val="factor"/>
          <c:x val="0.0075"/>
          <c:y val="0.024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"/>
          <c:y val="0.1775"/>
          <c:w val="0.96875"/>
          <c:h val="0.834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'ก๊าซเรือนกระจก-แยกตามประเภท'!$C$3</c:f>
              <c:strCache>
                <c:ptCount val="1"/>
                <c:pt idx="0">
                  <c:v>GHG 2560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'ก๊าซเรือนกระจก-แยกตามประเภท'!$B$4:$B$6</c:f>
              <c:strCache/>
            </c:strRef>
          </c:cat>
          <c:val>
            <c:numRef>
              <c:f>'ก๊าซเรือนกระจก-แยกตามประเภท'!$C$4:$C$6</c:f>
              <c:numCache/>
            </c:numRef>
          </c:val>
          <c:shape val="box"/>
        </c:ser>
        <c:ser>
          <c:idx val="0"/>
          <c:order val="1"/>
          <c:tx>
            <c:strRef>
              <c:f>'ก๊าซเรือนกระจก-แยกตามประเภท'!$D$3</c:f>
              <c:strCache>
                <c:ptCount val="1"/>
                <c:pt idx="0">
                  <c:v>GHG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'ก๊าซเรือนกระจก-แยกตามประเภท'!$B$4:$B$6</c:f>
              <c:strCache/>
            </c:strRef>
          </c:cat>
          <c:val>
            <c:numRef>
              <c:f>'ก๊าซเรือนกระจก-แยกตามประเภท'!$D$4:$D$6</c:f>
              <c:numCache/>
            </c:numRef>
          </c:val>
          <c:shape val="box"/>
        </c:ser>
        <c:ser>
          <c:idx val="1"/>
          <c:order val="2"/>
          <c:tx>
            <c:strRef>
              <c:f>'ก๊าซเรือนกระจก-แยกตามประเภท'!$E$3</c:f>
              <c:strCache>
                <c:ptCount val="1"/>
                <c:pt idx="0">
                  <c:v>ปริมาณก๊าซเรือนกระจกที่ลดลง %  (tCO2e)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'ก๊าซเรือนกระจก-แยกตามประเภท'!$B$4:$B$6</c:f>
              <c:strCache/>
            </c:strRef>
          </c:cat>
          <c:val>
            <c:numRef>
              <c:f>'ก๊าซเรือนกระจก-แยกตามประเภท'!$E$4:$E$6</c:f>
              <c:numCache/>
            </c:numRef>
          </c:val>
          <c:shape val="box"/>
        </c:ser>
        <c:shape val="box"/>
        <c:axId val="59270515"/>
        <c:axId val="63672588"/>
      </c:bar3DChart>
      <c:catAx>
        <c:axId val="592705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2588"/>
        <c:crosses val="autoZero"/>
        <c:auto val="1"/>
        <c:lblOffset val="100"/>
        <c:tickLblSkip val="1"/>
        <c:noMultiLvlLbl val="0"/>
      </c:catAx>
      <c:valAx>
        <c:axId val="63672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0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25"/>
          <c:y val="0.1345"/>
          <c:w val="0.734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ปริมาณการปล่อยก๊าซเรือนกระจก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ประจำปี 2561 (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tCO2)</a:t>
            </a:r>
          </a:p>
        </c:rich>
      </c:tx>
      <c:layout>
        <c:manualLayout>
          <c:xMode val="factor"/>
          <c:yMode val="factor"/>
          <c:x val="0.027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201"/>
          <c:w val="0.56675"/>
          <c:h val="0.65925"/>
        </c:manualLayout>
      </c:layout>
      <c:pieChart>
        <c:varyColors val="1"/>
        <c:ser>
          <c:idx val="0"/>
          <c:order val="0"/>
          <c:tx>
            <c:strRef>
              <c:f>สรุปการคำนวณ!$C$27</c:f>
              <c:strCache>
                <c:ptCount val="1"/>
                <c:pt idx="0">
                  <c:v>GHG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สรุปการคำนวณ!$B$28:$B$30</c:f>
              <c:strCache/>
            </c:strRef>
          </c:cat>
          <c:val>
            <c:numRef>
              <c:f>สรุปการคำนวณ!$C$28:$C$30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4625"/>
          <c:w val="0.367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ปริมาณก๊าซเรือนกระจกแยกตามรายการ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tCO2)</a:t>
            </a:r>
          </a:p>
        </c:rich>
      </c:tx>
      <c:layout>
        <c:manualLayout>
          <c:xMode val="factor"/>
          <c:yMode val="factor"/>
          <c:x val="-0.0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5"/>
          <c:w val="0.986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ก๊าซเรือนกระจกแยกตามรายการ!$C$4</c:f>
              <c:strCache>
                <c:ptCount val="1"/>
                <c:pt idx="0">
                  <c:v>น้ำมัน Diesel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ก๊าซเรือนกระจกแยกตามรายการ!$B$5:$B$16</c:f>
              <c:strCache/>
            </c:strRef>
          </c:cat>
          <c:val>
            <c:numRef>
              <c:f>ก๊าซเรือนกระจกแยกตามรายการ!$C$5:$C$16</c:f>
              <c:numCache/>
            </c:numRef>
          </c:val>
        </c:ser>
        <c:ser>
          <c:idx val="1"/>
          <c:order val="1"/>
          <c:tx>
            <c:strRef>
              <c:f>ก๊าซเรือนกระจกแยกตามรายการ!$D$4</c:f>
              <c:strCache>
                <c:ptCount val="1"/>
                <c:pt idx="0">
                  <c:v>น้ำมัน Gasohol 91, E20, E85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ก๊าซเรือนกระจกแยกตามรายการ!$B$5:$B$16</c:f>
              <c:strCache/>
            </c:strRef>
          </c:cat>
          <c:val>
            <c:numRef>
              <c:f>ก๊าซเรือนกระจกแยกตามรายการ!$D$5:$D$16</c:f>
              <c:numCache/>
            </c:numRef>
          </c:val>
        </c:ser>
        <c:ser>
          <c:idx val="2"/>
          <c:order val="2"/>
          <c:tx>
            <c:strRef>
              <c:f>ก๊าซเรือนกระจกแยกตามรายการ!$E$4</c:f>
              <c:strCache>
                <c:ptCount val="1"/>
                <c:pt idx="0">
                  <c:v>น้ำมัน Gasohol 95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ก๊าซเรือนกระจกแยกตามรายการ!$B$5:$B$16</c:f>
              <c:strCache/>
            </c:strRef>
          </c:cat>
          <c:val>
            <c:numRef>
              <c:f>ก๊าซเรือนกระจกแยกตามรายการ!$E$5:$E$16</c:f>
              <c:numCache/>
            </c:numRef>
          </c:val>
        </c:ser>
        <c:ser>
          <c:idx val="3"/>
          <c:order val="3"/>
          <c:tx>
            <c:strRef>
              <c:f>ก๊าซเรือนกระจกแยกตามรายการ!$F$4</c:f>
              <c:strCache>
                <c:ptCount val="1"/>
                <c:pt idx="0">
                  <c:v>การปล่อยสารมีเทนจากระบบ septic tank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ก๊าซเรือนกระจกแยกตามรายการ!$B$5:$B$16</c:f>
              <c:strCache/>
            </c:strRef>
          </c:cat>
          <c:val>
            <c:numRef>
              <c:f>ก๊าซเรือนกระจกแยกตามรายการ!$F$5:$F$16</c:f>
              <c:numCache/>
            </c:numRef>
          </c:val>
        </c:ser>
        <c:ser>
          <c:idx val="4"/>
          <c:order val="4"/>
          <c:tx>
            <c:strRef>
              <c:f>ก๊าซเรือนกระจกแยกตามรายการ!$G$4</c:f>
              <c:strCache>
                <c:ptCount val="1"/>
                <c:pt idx="0">
                  <c:v>การปล่อยสารมีเทนจากบ่อบำบัดน้ำเสียแบบไม่เติมอากาศ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ก๊าซเรือนกระจกแยกตามรายการ!$B$5:$B$16</c:f>
              <c:strCache/>
            </c:strRef>
          </c:cat>
          <c:val>
            <c:numRef>
              <c:f>ก๊าซเรือนกระจกแยกตามรายการ!$G$5:$G$16</c:f>
              <c:numCache/>
            </c:numRef>
          </c:val>
        </c:ser>
        <c:ser>
          <c:idx val="5"/>
          <c:order val="5"/>
          <c:tx>
            <c:strRef>
              <c:f>ก๊าซเรือนกระจกแยกตามรายการ!$H$4</c:f>
              <c:strCache>
                <c:ptCount val="1"/>
                <c:pt idx="0">
                  <c:v>การใช้พลังงานไฟฟ้า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ก๊าซเรือนกระจกแยกตามรายการ!$B$5:$B$16</c:f>
              <c:strCache/>
            </c:strRef>
          </c:cat>
          <c:val>
            <c:numRef>
              <c:f>ก๊าซเรือนกระจกแยกตามรายการ!$H$5:$H$16</c:f>
              <c:numCache/>
            </c:numRef>
          </c:val>
        </c:ser>
        <c:ser>
          <c:idx val="6"/>
          <c:order val="6"/>
          <c:tx>
            <c:strRef>
              <c:f>ก๊าซเรือนกระจกแยกตามรายการ!$I$4</c:f>
              <c:strCache>
                <c:ptCount val="1"/>
                <c:pt idx="0">
                  <c:v>การใช้กระดาษ A4 และ A3 (สีขาว)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ก๊าซเรือนกระจกแยกตามรายการ!$B$5:$B$16</c:f>
              <c:strCache/>
            </c:strRef>
          </c:cat>
          <c:val>
            <c:numRef>
              <c:f>ก๊าซเรือนกระจกแยกตามรายการ!$I$5:$I$16</c:f>
              <c:numCache/>
            </c:numRef>
          </c:val>
        </c:ser>
        <c:ser>
          <c:idx val="7"/>
          <c:order val="7"/>
          <c:tx>
            <c:strRef>
              <c:f>ก๊าซเรือนกระจกแยกตามรายการ!$J$4</c:f>
              <c:strCache>
                <c:ptCount val="1"/>
                <c:pt idx="0">
                  <c:v>น้ำประปา-การประปาส่วนภูมิภาค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ก๊าซเรือนกระจกแยกตามรายการ!$B$5:$B$16</c:f>
              <c:strCache/>
            </c:strRef>
          </c:cat>
          <c:val>
            <c:numRef>
              <c:f>ก๊าซเรือนกระจกแยกตามรายการ!$J$5:$J$16</c:f>
              <c:numCache/>
            </c:numRef>
          </c:val>
        </c:ser>
        <c:ser>
          <c:idx val="8"/>
          <c:order val="8"/>
          <c:tx>
            <c:strRef>
              <c:f>ก๊าซเรือนกระจกแยกตามรายการ!$K$4</c:f>
              <c:strCache>
                <c:ptCount val="1"/>
                <c:pt idx="0">
                  <c:v>ขยะของเสีย (ฝังกลบ)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ก๊าซเรือนกระจกแยกตามรายการ!$B$5:$B$16</c:f>
              <c:strCache/>
            </c:strRef>
          </c:cat>
          <c:val>
            <c:numRef>
              <c:f>ก๊าซเรือนกระจกแยกตามรายการ!$K$5:$K$16</c:f>
              <c:numCache/>
            </c:numRef>
          </c:val>
        </c:ser>
        <c:overlap val="-27"/>
        <c:gapWidth val="219"/>
        <c:axId val="55754013"/>
        <c:axId val="32024070"/>
      </c:bar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540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25"/>
          <c:y val="0.9485"/>
          <c:w val="0.909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ปริมาณก๊าซเรือนกระจกรวม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tCO2)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54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4275"/>
          <c:w val="0.986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ก๊าซเรือนกระจกแยกตามรายการ!$L$4</c:f>
              <c:strCache>
                <c:ptCount val="1"/>
                <c:pt idx="0">
                  <c:v>ปริมาณก๊าซเรือนกระจกรวม/(tCO2e)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ก๊าซเรือนกระจกแยกตามรายการ!$B$5:$B$16</c:f>
              <c:strCache/>
            </c:strRef>
          </c:cat>
          <c:val>
            <c:numRef>
              <c:f>ก๊าซเรือนกระจกแยกตามรายการ!$L$5:$L$16</c:f>
              <c:numCache/>
            </c:numRef>
          </c:val>
        </c:ser>
        <c:overlap val="-27"/>
        <c:gapWidth val="219"/>
        <c:axId val="19781175"/>
        <c:axId val="43812848"/>
      </c:bar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12848"/>
        <c:crosses val="autoZero"/>
        <c:auto val="1"/>
        <c:lblOffset val="100"/>
        <c:tickLblSkip val="1"/>
        <c:noMultiLvlLbl val="0"/>
      </c:catAx>
      <c:valAx>
        <c:axId val="4381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8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25"/>
          <c:y val="0.9485"/>
          <c:w val="0.141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เปรียบเทียบปริมาณก๊าซเรือนกระจก/จำนวนพนักงาน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0.0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025"/>
          <c:w val="0.9822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'ก๊าซเรือนกระจก-ต่อคน-ต่อพื้นที่'!$G$4</c:f>
              <c:strCache>
                <c:ptCount val="1"/>
                <c:pt idx="0">
                  <c:v>2560  ปริมาณก๊าซเรือนกระจก/จำนวนพนักงาน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'ก๊าซเรือนกระจก-ต่อคน-ต่อพื้นที่'!$A$5:$A$16</c:f>
              <c:strCache/>
            </c:strRef>
          </c:cat>
          <c:val>
            <c:numRef>
              <c:f>'ก๊าซเรือนกระจก-ต่อคน-ต่อพื้นที่'!$G$5:$G$16</c:f>
              <c:numCache/>
            </c:numRef>
          </c:val>
        </c:ser>
        <c:ser>
          <c:idx val="1"/>
          <c:order val="1"/>
          <c:tx>
            <c:strRef>
              <c:f>'ก๊าซเรือนกระจก-ต่อคน-ต่อพื้นที่'!$H$4</c:f>
              <c:strCache>
                <c:ptCount val="1"/>
                <c:pt idx="0">
                  <c:v>2561  ปริมาณก๊าซเรือนกระจก/จำนวนพนักงาน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'ก๊าซเรือนกระจก-ต่อคน-ต่อพื้นที่'!$A$5:$A$16</c:f>
              <c:strCache/>
            </c:strRef>
          </c:cat>
          <c:val>
            <c:numRef>
              <c:f>'ก๊าซเรือนกระจก-ต่อคน-ต่อพื้นที่'!$H$5:$H$16</c:f>
              <c:numCache/>
            </c:numRef>
          </c:val>
        </c:ser>
        <c:axId val="58771313"/>
        <c:axId val="59179770"/>
      </c:bar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79770"/>
        <c:crosses val="autoZero"/>
        <c:auto val="1"/>
        <c:lblOffset val="100"/>
        <c:tickLblSkip val="1"/>
        <c:noMultiLvlLbl val="0"/>
      </c:catAx>
      <c:valAx>
        <c:axId val="59179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713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125"/>
          <c:y val="0.126"/>
          <c:w val="0.627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เปรียบเทียบปริมาณก๊าซเรือนกระจก/พื้นที่ (ตรม.)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0.023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125"/>
          <c:w val="0.982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'ก๊าซเรือนกระจก-ต่อคน-ต่อพื้นที่'!$I$4</c:f>
              <c:strCache>
                <c:ptCount val="1"/>
                <c:pt idx="0">
                  <c:v>2560  ปริมาณก๊าซเรือนกระจก/พื้นที่ (ตรม.)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'ก๊าซเรือนกระจก-ต่อคน-ต่อพื้นที่'!$A$5:$A$16</c:f>
              <c:strCache/>
            </c:strRef>
          </c:cat>
          <c:val>
            <c:numRef>
              <c:f>'ก๊าซเรือนกระจก-ต่อคน-ต่อพื้นที่'!$I$5:$I$16</c:f>
              <c:numCache/>
            </c:numRef>
          </c:val>
        </c:ser>
        <c:ser>
          <c:idx val="1"/>
          <c:order val="1"/>
          <c:tx>
            <c:strRef>
              <c:f>'ก๊าซเรือนกระจก-ต่อคน-ต่อพื้นที่'!$J$4</c:f>
              <c:strCache>
                <c:ptCount val="1"/>
                <c:pt idx="0">
                  <c:v>2561  ปริมาณก๊าซเรือนกระจก/พื้นที่ (ตรม.)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'ก๊าซเรือนกระจก-ต่อคน-ต่อพื้นที่'!$A$5:$A$16</c:f>
              <c:strCache/>
            </c:strRef>
          </c:cat>
          <c:val>
            <c:numRef>
              <c:f>'ก๊าซเรือนกระจก-ต่อคน-ต่อพื้นที่'!$J$5:$J$16</c:f>
              <c:numCache/>
            </c:numRef>
          </c:val>
        </c:ser>
        <c:axId val="62855883"/>
        <c:axId val="28832036"/>
      </c:bar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832036"/>
        <c:crosses val="autoZero"/>
        <c:auto val="1"/>
        <c:lblOffset val="100"/>
        <c:tickLblSkip val="1"/>
        <c:noMultiLvlLbl val="0"/>
      </c:catAx>
      <c:valAx>
        <c:axId val="28832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8558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85"/>
          <c:y val="0.13675"/>
          <c:w val="0.587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เปรียบเทียบปริมาณก๊าซเรือนกระจก/เดือน (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tCO2e)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9975"/>
          <c:w val="0.982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'ก๊าซเรือนกระจก-ต่อคน-ต่อพื้นที่'!$B$4</c:f>
              <c:strCache>
                <c:ptCount val="1"/>
                <c:pt idx="0">
                  <c:v>2560  ปริมาณก๊าซเรือนกระจก/เดือน (tCO2e)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'ก๊าซเรือนกระจก-ต่อคน-ต่อพื้นที่'!$A$5:$A$16</c:f>
              <c:strCache/>
            </c:strRef>
          </c:cat>
          <c:val>
            <c:numRef>
              <c:f>'ก๊าซเรือนกระจก-ต่อคน-ต่อพื้นที่'!$B$5:$B$16</c:f>
              <c:numCache/>
            </c:numRef>
          </c:val>
        </c:ser>
        <c:ser>
          <c:idx val="1"/>
          <c:order val="1"/>
          <c:tx>
            <c:strRef>
              <c:f>'ก๊าซเรือนกระจก-ต่อคน-ต่อพื้นที่'!$C$4</c:f>
              <c:strCache>
                <c:ptCount val="1"/>
                <c:pt idx="0">
                  <c:v>2561  ปริมาณก๊าซเรือนกระจก/เดือน (tCO2e)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'ก๊าซเรือนกระจก-ต่อคน-ต่อพื้นที่'!$A$5:$A$16</c:f>
              <c:strCache/>
            </c:strRef>
          </c:cat>
          <c:val>
            <c:numRef>
              <c:f>'ก๊าซเรือนกระจก-ต่อคน-ต่อพื้นที่'!$C$5:$C$16</c:f>
              <c:numCache/>
            </c:numRef>
          </c:val>
        </c:ser>
        <c:ser>
          <c:idx val="2"/>
          <c:order val="2"/>
          <c:tx>
            <c:strRef>
              <c:f>'ก๊าซเรือนกระจก-ต่อคน-ต่อพื้นที่'!$D$4</c:f>
              <c:strCache>
                <c:ptCount val="1"/>
                <c:pt idx="0">
                  <c:v>2561  เป้าหมาย  ลด 5 %(tCO2e)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'ก๊าซเรือนกระจก-ต่อคน-ต่อพื้นที่'!$A$5:$A$16</c:f>
              <c:strCache/>
            </c:strRef>
          </c:cat>
          <c:val>
            <c:numRef>
              <c:f>'ก๊าซเรือนกระจก-ต่อคน-ต่อพื้นที่'!$D$5:$D$16</c:f>
              <c:numCache/>
            </c:numRef>
          </c:val>
        </c:ser>
        <c:axId val="58161733"/>
        <c:axId val="53693550"/>
      </c:bar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1617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275"/>
          <c:y val="0.15575"/>
          <c:w val="0.863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เปรียบเทียบปริมาณก๊าซเรือนกระจก/เดือน (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tCO2e)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025"/>
          <c:w val="0.9822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'ก๊าซเรือนกระจก-ต่อคน-ต่อพื้นที่'!$B$4</c:f>
              <c:strCache>
                <c:ptCount val="1"/>
                <c:pt idx="0">
                  <c:v>2560  ปริมาณก๊าซเรือนกระจก/เดือน (tCO2e)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'ก๊าซเรือนกระจก-ต่อคน-ต่อพื้นที่'!$A$5:$A$16</c:f>
              <c:strCache/>
            </c:strRef>
          </c:cat>
          <c:val>
            <c:numRef>
              <c:f>'ก๊าซเรือนกระจก-ต่อคน-ต่อพื้นที่'!$B$5:$B$16</c:f>
              <c:numCache/>
            </c:numRef>
          </c:val>
          <c:smooth val="0"/>
        </c:ser>
        <c:ser>
          <c:idx val="1"/>
          <c:order val="1"/>
          <c:tx>
            <c:strRef>
              <c:f>'ก๊าซเรือนกระจก-ต่อคน-ต่อพื้นที่'!$C$4</c:f>
              <c:strCache>
                <c:ptCount val="1"/>
                <c:pt idx="0">
                  <c:v>2561  ปริมาณก๊าซเรือนกระจก/เดือน (tCO2e)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'ก๊าซเรือนกระจก-ต่อคน-ต่อพื้นที่'!$A$5:$A$16</c:f>
              <c:strCache/>
            </c:strRef>
          </c:cat>
          <c:val>
            <c:numRef>
              <c:f>'ก๊าซเรือนกระจก-ต่อคน-ต่อพื้นที่'!$C$5:$C$16</c:f>
              <c:numCache/>
            </c:numRef>
          </c:val>
          <c:smooth val="0"/>
        </c:ser>
        <c:ser>
          <c:idx val="2"/>
          <c:order val="2"/>
          <c:tx>
            <c:strRef>
              <c:f>'ก๊าซเรือนกระจก-ต่อคน-ต่อพื้นที่'!$D$4</c:f>
              <c:strCache>
                <c:ptCount val="1"/>
                <c:pt idx="0">
                  <c:v>2561  เป้าหมาย  ลด 5 %(tCO2e)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'ก๊าซเรือนกระจก-ต่อคน-ต่อพื้นที่'!$A$5:$A$16</c:f>
              <c:strCache/>
            </c:strRef>
          </c:cat>
          <c:val>
            <c:numRef>
              <c:f>'ก๊าซเรือนกระจก-ต่อคน-ต่อพื้นที่'!$D$5:$D$16</c:f>
              <c:numCache/>
            </c:numRef>
          </c:val>
          <c:smooth val="0"/>
        </c:ser>
        <c:marker val="1"/>
        <c:axId val="13479903"/>
        <c:axId val="54210264"/>
      </c:line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210264"/>
        <c:crosses val="autoZero"/>
        <c:auto val="1"/>
        <c:lblOffset val="100"/>
        <c:tickLblSkip val="1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799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275"/>
          <c:y val="0.15575"/>
          <c:w val="0.8557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ปริมาณการปล่อยก๊าซเรือนกระจกประจำปี 2561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tCO2)</a:t>
            </a:r>
          </a:p>
        </c:rich>
      </c:tx>
      <c:layout>
        <c:manualLayout>
          <c:xMode val="factor"/>
          <c:yMode val="factor"/>
          <c:x val="0.0275"/>
          <c:y val="0.01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"/>
          <c:y val="0.17825"/>
          <c:w val="0.96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'ก๊าซเรือนกระจก-แยกตามประเภท'!$D$3</c:f>
              <c:strCache>
                <c:ptCount val="1"/>
                <c:pt idx="0">
                  <c:v>GHG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'ก๊าซเรือนกระจก-แยกตามประเภท'!$B$4:$B$6</c:f>
              <c:strCache/>
            </c:strRef>
          </c:cat>
          <c:val>
            <c:numRef>
              <c:f>'ก๊าซเรือนกระจก-แยกตามประเภท'!$D$4:$D$6</c:f>
              <c:numCache/>
            </c:numRef>
          </c:val>
          <c:shape val="box"/>
        </c:ser>
        <c:shape val="box"/>
        <c:axId val="18130329"/>
        <c:axId val="28955234"/>
      </c:bar3DChart>
      <c:catAx>
        <c:axId val="181303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5234"/>
        <c:crosses val="autoZero"/>
        <c:auto val="1"/>
        <c:lblOffset val="100"/>
        <c:tickLblSkip val="1"/>
        <c:noMultiLvlLbl val="0"/>
      </c:catAx>
      <c:valAx>
        <c:axId val="28955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0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25"/>
          <c:y val="0.1145"/>
          <c:w val="0.54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552450</xdr:colOff>
      <xdr:row>46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9650" cy="888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123825</xdr:rowOff>
    </xdr:from>
    <xdr:to>
      <xdr:col>7</xdr:col>
      <xdr:colOff>542925</xdr:colOff>
      <xdr:row>93</xdr:row>
      <xdr:rowOff>123825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77325"/>
          <a:ext cx="4810125" cy="876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123825</xdr:rowOff>
    </xdr:from>
    <xdr:to>
      <xdr:col>7</xdr:col>
      <xdr:colOff>571500</xdr:colOff>
      <xdr:row>140</xdr:row>
      <xdr:rowOff>104775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030825"/>
          <a:ext cx="4838700" cy="874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152400</xdr:rowOff>
    </xdr:from>
    <xdr:to>
      <xdr:col>7</xdr:col>
      <xdr:colOff>523875</xdr:colOff>
      <xdr:row>187</xdr:row>
      <xdr:rowOff>85725</xdr:rowOff>
    </xdr:to>
    <xdr:pic>
      <xdr:nvPicPr>
        <xdr:cNvPr id="4" name="รูปภาพ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012900"/>
          <a:ext cx="4791075" cy="869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24</xdr:row>
      <xdr:rowOff>209550</xdr:rowOff>
    </xdr:from>
    <xdr:to>
      <xdr:col>19</xdr:col>
      <xdr:colOff>38100</xdr:colOff>
      <xdr:row>37</xdr:row>
      <xdr:rowOff>152400</xdr:rowOff>
    </xdr:to>
    <xdr:graphicFrame>
      <xdr:nvGraphicFramePr>
        <xdr:cNvPr id="1" name="Chart 9"/>
        <xdr:cNvGraphicFramePr/>
      </xdr:nvGraphicFramePr>
      <xdr:xfrm>
        <a:off x="5324475" y="8724900"/>
        <a:ext cx="57816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25</xdr:row>
      <xdr:rowOff>142875</xdr:rowOff>
    </xdr:from>
    <xdr:to>
      <xdr:col>17</xdr:col>
      <xdr:colOff>419100</xdr:colOff>
      <xdr:row>26</xdr:row>
      <xdr:rowOff>295275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6715125" y="8972550"/>
          <a:ext cx="38766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ปริมาณการปล่อยก๊าซเรือนกระจำประจำปี</a:t>
          </a: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8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256</a:t>
          </a:r>
          <a:r>
            <a:rPr lang="en-US" cap="none" sz="1800" b="1" i="0" u="none" baseline="0">
              <a:solidFill>
                <a:srgbClr val="FF0000"/>
              </a:solidFill>
              <a:latin typeface="Cordia New"/>
              <a:ea typeface="Cordia New"/>
              <a:cs typeface="Cordia New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(</a:t>
          </a:r>
          <a:r>
            <a:rPr lang="en-US" cap="none" sz="18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tCO2)</a:t>
          </a:r>
        </a:p>
      </xdr:txBody>
    </xdr:sp>
    <xdr:clientData/>
  </xdr:twoCellAnchor>
  <xdr:twoCellAnchor>
    <xdr:from>
      <xdr:col>20</xdr:col>
      <xdr:colOff>38100</xdr:colOff>
      <xdr:row>24</xdr:row>
      <xdr:rowOff>209550</xdr:rowOff>
    </xdr:from>
    <xdr:to>
      <xdr:col>29</xdr:col>
      <xdr:colOff>428625</xdr:colOff>
      <xdr:row>37</xdr:row>
      <xdr:rowOff>133350</xdr:rowOff>
    </xdr:to>
    <xdr:graphicFrame>
      <xdr:nvGraphicFramePr>
        <xdr:cNvPr id="3" name="แผนภูมิ 1"/>
        <xdr:cNvGraphicFramePr/>
      </xdr:nvGraphicFramePr>
      <xdr:xfrm>
        <a:off x="11553825" y="8724900"/>
        <a:ext cx="44196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2714625</xdr:colOff>
      <xdr:row>11</xdr:row>
      <xdr:rowOff>333375</xdr:rowOff>
    </xdr:from>
    <xdr:to>
      <xdr:col>7</xdr:col>
      <xdr:colOff>590550</xdr:colOff>
      <xdr:row>14</xdr:row>
      <xdr:rowOff>200025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b="47619"/>
        <a:stretch>
          <a:fillRect/>
        </a:stretch>
      </xdr:blipFill>
      <xdr:spPr>
        <a:xfrm>
          <a:off x="2714625" y="5629275"/>
          <a:ext cx="55721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14</xdr:row>
      <xdr:rowOff>161925</xdr:rowOff>
    </xdr:from>
    <xdr:to>
      <xdr:col>7</xdr:col>
      <xdr:colOff>495300</xdr:colOff>
      <xdr:row>20</xdr:row>
      <xdr:rowOff>19050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8286750"/>
          <a:ext cx="51625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6</xdr:row>
      <xdr:rowOff>19050</xdr:rowOff>
    </xdr:from>
    <xdr:to>
      <xdr:col>7</xdr:col>
      <xdr:colOff>590550</xdr:colOff>
      <xdr:row>11</xdr:row>
      <xdr:rowOff>523875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rcRect b="51286"/>
        <a:stretch>
          <a:fillRect/>
        </a:stretch>
      </xdr:blipFill>
      <xdr:spPr>
        <a:xfrm>
          <a:off x="2733675" y="1962150"/>
          <a:ext cx="555307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4</xdr:row>
      <xdr:rowOff>219075</xdr:rowOff>
    </xdr:from>
    <xdr:to>
      <xdr:col>15</xdr:col>
      <xdr:colOff>28575</xdr:colOff>
      <xdr:row>19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62950" y="1552575"/>
          <a:ext cx="5000625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9525</xdr:rowOff>
    </xdr:from>
    <xdr:to>
      <xdr:col>11</xdr:col>
      <xdr:colOff>828675</xdr:colOff>
      <xdr:row>34</xdr:row>
      <xdr:rowOff>19050</xdr:rowOff>
    </xdr:to>
    <xdr:graphicFrame>
      <xdr:nvGraphicFramePr>
        <xdr:cNvPr id="1" name="แผนภูมิ 2"/>
        <xdr:cNvGraphicFramePr/>
      </xdr:nvGraphicFramePr>
      <xdr:xfrm>
        <a:off x="638175" y="7658100"/>
        <a:ext cx="86487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</xdr:row>
      <xdr:rowOff>9525</xdr:rowOff>
    </xdr:from>
    <xdr:to>
      <xdr:col>12</xdr:col>
      <xdr:colOff>0</xdr:colOff>
      <xdr:row>57</xdr:row>
      <xdr:rowOff>19050</xdr:rowOff>
    </xdr:to>
    <xdr:graphicFrame>
      <xdr:nvGraphicFramePr>
        <xdr:cNvPr id="2" name="แผนภูมิ 3"/>
        <xdr:cNvGraphicFramePr/>
      </xdr:nvGraphicFramePr>
      <xdr:xfrm>
        <a:off x="600075" y="12039600"/>
        <a:ext cx="86963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19050</xdr:rowOff>
    </xdr:from>
    <xdr:to>
      <xdr:col>9</xdr:col>
      <xdr:colOff>685800</xdr:colOff>
      <xdr:row>41</xdr:row>
      <xdr:rowOff>0</xdr:rowOff>
    </xdr:to>
    <xdr:graphicFrame>
      <xdr:nvGraphicFramePr>
        <xdr:cNvPr id="1" name="แผนภูมิ 1"/>
        <xdr:cNvGraphicFramePr/>
      </xdr:nvGraphicFramePr>
      <xdr:xfrm>
        <a:off x="57150" y="10277475"/>
        <a:ext cx="64579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43</xdr:row>
      <xdr:rowOff>38100</xdr:rowOff>
    </xdr:from>
    <xdr:to>
      <xdr:col>9</xdr:col>
      <xdr:colOff>685800</xdr:colOff>
      <xdr:row>54</xdr:row>
      <xdr:rowOff>314325</xdr:rowOff>
    </xdr:to>
    <xdr:graphicFrame>
      <xdr:nvGraphicFramePr>
        <xdr:cNvPr id="2" name="แผนภูมิ 2"/>
        <xdr:cNvGraphicFramePr/>
      </xdr:nvGraphicFramePr>
      <xdr:xfrm>
        <a:off x="47625" y="14830425"/>
        <a:ext cx="64674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59</xdr:row>
      <xdr:rowOff>38100</xdr:rowOff>
    </xdr:from>
    <xdr:to>
      <xdr:col>9</xdr:col>
      <xdr:colOff>685800</xdr:colOff>
      <xdr:row>71</xdr:row>
      <xdr:rowOff>19050</xdr:rowOff>
    </xdr:to>
    <xdr:graphicFrame>
      <xdr:nvGraphicFramePr>
        <xdr:cNvPr id="3" name="แผนภูมิ 3"/>
        <xdr:cNvGraphicFramePr/>
      </xdr:nvGraphicFramePr>
      <xdr:xfrm>
        <a:off x="104775" y="20012025"/>
        <a:ext cx="641032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73</xdr:row>
      <xdr:rowOff>0</xdr:rowOff>
    </xdr:from>
    <xdr:to>
      <xdr:col>9</xdr:col>
      <xdr:colOff>666750</xdr:colOff>
      <xdr:row>84</xdr:row>
      <xdr:rowOff>257175</xdr:rowOff>
    </xdr:to>
    <xdr:graphicFrame>
      <xdr:nvGraphicFramePr>
        <xdr:cNvPr id="4" name="แผนภูมิ 3"/>
        <xdr:cNvGraphicFramePr/>
      </xdr:nvGraphicFramePr>
      <xdr:xfrm>
        <a:off x="76200" y="24507825"/>
        <a:ext cx="64198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7</xdr:col>
      <xdr:colOff>514350</xdr:colOff>
      <xdr:row>21</xdr:row>
      <xdr:rowOff>9525</xdr:rowOff>
    </xdr:to>
    <xdr:graphicFrame>
      <xdr:nvGraphicFramePr>
        <xdr:cNvPr id="1" name="Chart 9"/>
        <xdr:cNvGraphicFramePr/>
      </xdr:nvGraphicFramePr>
      <xdr:xfrm>
        <a:off x="133350" y="3486150"/>
        <a:ext cx="54197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38100</xdr:rowOff>
    </xdr:from>
    <xdr:to>
      <xdr:col>7</xdr:col>
      <xdr:colOff>533400</xdr:colOff>
      <xdr:row>35</xdr:row>
      <xdr:rowOff>47625</xdr:rowOff>
    </xdr:to>
    <xdr:graphicFrame>
      <xdr:nvGraphicFramePr>
        <xdr:cNvPr id="2" name="แผนภูมิ 1"/>
        <xdr:cNvGraphicFramePr/>
      </xdr:nvGraphicFramePr>
      <xdr:xfrm>
        <a:off x="133350" y="6600825"/>
        <a:ext cx="54387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7</xdr:col>
      <xdr:colOff>533400</xdr:colOff>
      <xdr:row>47</xdr:row>
      <xdr:rowOff>171450</xdr:rowOff>
    </xdr:to>
    <xdr:graphicFrame>
      <xdr:nvGraphicFramePr>
        <xdr:cNvPr id="3" name="Chart 9"/>
        <xdr:cNvGraphicFramePr/>
      </xdr:nvGraphicFramePr>
      <xdr:xfrm>
        <a:off x="142875" y="9144000"/>
        <a:ext cx="54292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7;&#3617;&#3623;&#3604;%203%20&#3586;&#3657;&#3629;%203.2(2)%20&#3610;&#3633;&#3609;&#3607;&#3638;&#3585;&#3585;&#3634;&#3619;&#3651;&#3594;&#3657;&#3648;&#3594;&#3639;&#3657;&#3629;&#3648;&#3614;&#3621;&#3636;&#3591;%20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27;&#3617;&#3623;&#3604;%203%20&#3586;&#3657;&#3629;%203.2(1)%20&#3610;&#3633;&#3609;&#3607;&#3638;&#3585;&#3585;&#3634;&#3619;&#3651;&#3594;&#3657;&#3652;&#3615;&#3615;&#3657;&#3634;%206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27;&#3617;&#3623;&#3604;%203%20&#3586;&#3657;&#3629;%203.1(1)%20&#3610;&#3633;&#3609;&#3607;&#3638;&#3585;&#3585;&#3634;&#3619;&#3651;&#3594;&#3657;&#3609;&#3657;&#3635;%206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27;&#3617;&#3623;&#3604;%204%20&#3586;&#3657;&#3629;%204.1(1)%20&#3610;&#3633;&#3609;&#3607;&#3638;&#3585;&#3611;&#3619;&#3636;&#3617;&#3634;&#3603;&#3586;&#3618;&#3632;%20256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27;&#3617;&#3623;&#3604;%203%20&#3586;&#3657;&#3629;%203.3(1)%20&#3610;&#3633;&#3609;&#3607;&#3638;&#3585;&#3585;&#3634;&#3619;&#3651;&#3594;&#3657;&#3585;&#3619;&#3632;&#3604;&#3634;&#3625;%206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3%20(&#3627;&#3617;&#3623;&#3604;%203)\&#3627;&#3617;&#3623;&#3604;%201%20&#3586;&#3657;&#3629;%201.5(1)%20&#3588;&#3635;&#3609;&#3623;&#3603;&#3611;&#3619;&#3636;&#3617;&#3634;&#3603;&#3585;&#3658;&#3634;&#3595;&#3648;&#3619;&#3639;&#3629;&#3609;&#3585;&#3619;&#3632;&#3592;&#3585;%206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0%20(&#3627;&#3617;&#3623;&#3604;%203)\&#3627;&#3617;&#3623;&#3604;%201%20&#3586;&#3657;&#3629;%201.5(1)%20&#3588;&#3635;&#3609;&#3623;&#3603;&#3611;&#3619;&#3636;&#3617;&#3634;&#3603;&#3585;&#3658;&#3634;&#3595;&#3648;&#3619;&#3639;&#3629;&#3609;&#3585;&#3619;&#3632;&#3592;&#3585;%2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้ำมันเชื้อเพลิง"/>
      <sheetName val="น้ำมันเชื้อเพลิง-เปรียบเทียบ"/>
    </sheetNames>
    <sheetDataSet>
      <sheetData sheetId="0">
        <row r="5">
          <cell r="D5">
            <v>677.565</v>
          </cell>
          <cell r="F5">
            <v>26.136</v>
          </cell>
          <cell r="H5">
            <v>15.705</v>
          </cell>
        </row>
        <row r="6">
          <cell r="D6">
            <v>421.677</v>
          </cell>
          <cell r="F6">
            <v>40.506</v>
          </cell>
          <cell r="H6">
            <v>25.002</v>
          </cell>
        </row>
        <row r="7">
          <cell r="D7">
            <v>624.713</v>
          </cell>
          <cell r="F7">
            <v>22.233</v>
          </cell>
          <cell r="H7">
            <v>12.467</v>
          </cell>
        </row>
        <row r="8">
          <cell r="D8">
            <v>354.715</v>
          </cell>
          <cell r="F8">
            <v>20.163</v>
          </cell>
          <cell r="H8">
            <v>15.578</v>
          </cell>
        </row>
        <row r="9">
          <cell r="D9">
            <v>364.725</v>
          </cell>
          <cell r="F9">
            <v>34.351</v>
          </cell>
          <cell r="H9">
            <v>26.72</v>
          </cell>
        </row>
        <row r="10">
          <cell r="D10">
            <v>1145.091</v>
          </cell>
          <cell r="F10">
            <v>64.565</v>
          </cell>
          <cell r="H10">
            <v>13.164</v>
          </cell>
        </row>
        <row r="11">
          <cell r="D11">
            <v>280.007</v>
          </cell>
          <cell r="F11">
            <v>23.827</v>
          </cell>
          <cell r="H11">
            <v>27.404</v>
          </cell>
        </row>
        <row r="12">
          <cell r="D12">
            <v>574.796</v>
          </cell>
          <cell r="F12">
            <v>22.012</v>
          </cell>
          <cell r="H12">
            <v>17.151</v>
          </cell>
        </row>
        <row r="13">
          <cell r="D13">
            <v>872.603</v>
          </cell>
          <cell r="F13">
            <v>37.444</v>
          </cell>
          <cell r="H13">
            <v>15.805</v>
          </cell>
        </row>
        <row r="14">
          <cell r="D14">
            <v>673.91</v>
          </cell>
          <cell r="F14">
            <v>23.571</v>
          </cell>
          <cell r="H14">
            <v>32.515</v>
          </cell>
        </row>
        <row r="15">
          <cell r="D15">
            <v>397.727</v>
          </cell>
          <cell r="F15">
            <v>23.358</v>
          </cell>
          <cell r="H15">
            <v>28.106</v>
          </cell>
        </row>
        <row r="16">
          <cell r="D16">
            <v>761.68</v>
          </cell>
          <cell r="F16">
            <v>40.467</v>
          </cell>
          <cell r="H16">
            <v>19.799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ไฟฟ้า-สนม.2"/>
      <sheetName val="จดบันทึกไฟฟ้า-สนม."/>
      <sheetName val="ไฟฟ้า-สนม."/>
      <sheetName val="ไฟฟ้า-เปรียบเทียบ"/>
      <sheetName val="ไฟฟ้า-สนม.1"/>
      <sheetName val="ไฟฟ้า-สนม.3-1"/>
      <sheetName val="ไฟฟ้า-สนม.3-2"/>
    </sheetNames>
    <sheetDataSet>
      <sheetData sheetId="2">
        <row r="5">
          <cell r="D5">
            <v>15222.47</v>
          </cell>
        </row>
        <row r="6">
          <cell r="D6">
            <v>21146.15</v>
          </cell>
        </row>
        <row r="7">
          <cell r="D7">
            <v>28434.95</v>
          </cell>
        </row>
        <row r="8">
          <cell r="D8">
            <v>28270.17</v>
          </cell>
        </row>
        <row r="9">
          <cell r="D9">
            <v>35296.35</v>
          </cell>
        </row>
        <row r="10">
          <cell r="D10">
            <v>35403.630000000005</v>
          </cell>
        </row>
        <row r="11">
          <cell r="D11">
            <v>29343.33</v>
          </cell>
        </row>
        <row r="12">
          <cell r="D12">
            <v>29936.15</v>
          </cell>
        </row>
        <row r="13">
          <cell r="D13">
            <v>27054.16</v>
          </cell>
        </row>
        <row r="14">
          <cell r="D14">
            <v>27034.62</v>
          </cell>
        </row>
        <row r="15">
          <cell r="D15">
            <v>19676.16</v>
          </cell>
        </row>
        <row r="16">
          <cell r="D16">
            <v>17772.33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1">
        <row r="5">
          <cell r="D5">
            <v>547</v>
          </cell>
        </row>
        <row r="6">
          <cell r="D6">
            <v>583</v>
          </cell>
        </row>
        <row r="7">
          <cell r="D7">
            <v>692</v>
          </cell>
        </row>
        <row r="8">
          <cell r="D8">
            <v>503</v>
          </cell>
        </row>
        <row r="9">
          <cell r="D9">
            <v>492</v>
          </cell>
        </row>
        <row r="10">
          <cell r="D10">
            <v>465</v>
          </cell>
        </row>
        <row r="11">
          <cell r="D11">
            <v>434</v>
          </cell>
        </row>
        <row r="12">
          <cell r="D12">
            <v>435</v>
          </cell>
        </row>
        <row r="13">
          <cell r="D13">
            <v>343</v>
          </cell>
        </row>
        <row r="14">
          <cell r="D14">
            <v>373</v>
          </cell>
        </row>
        <row r="15">
          <cell r="D15">
            <v>412</v>
          </cell>
        </row>
        <row r="16">
          <cell r="D16">
            <v>331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มาณขยะรายเดือน "/>
      <sheetName val="คำนวณ%"/>
      <sheetName val="ตัวอย่างคำนวณ ปริมาณขยะ"/>
    </sheetNames>
    <sheetDataSet>
      <sheetData sheetId="0">
        <row r="11">
          <cell r="B11">
            <v>277.29999999999995</v>
          </cell>
          <cell r="C11">
            <v>198.60000000000002</v>
          </cell>
          <cell r="D11">
            <v>189.89999999999998</v>
          </cell>
          <cell r="E11">
            <v>239.8</v>
          </cell>
          <cell r="F11">
            <v>238.20000000000002</v>
          </cell>
          <cell r="G11">
            <v>411</v>
          </cell>
          <cell r="H11">
            <v>185.4</v>
          </cell>
          <cell r="I11">
            <v>276.09999999999997</v>
          </cell>
          <cell r="J11">
            <v>313.90000000000003</v>
          </cell>
          <cell r="K11">
            <v>249.5</v>
          </cell>
          <cell r="L11">
            <v>261.3</v>
          </cell>
          <cell r="M11">
            <v>199.6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ชนิดกระดาษะ สนอ.61"/>
      <sheetName val="กระดาษ"/>
      <sheetName val="กระดาษ-เปรียบเทียบ"/>
    </sheetNames>
    <sheetDataSet>
      <sheetData sheetId="1">
        <row r="5">
          <cell r="D5">
            <v>490.30000000000007</v>
          </cell>
        </row>
        <row r="6">
          <cell r="D6">
            <v>311.3</v>
          </cell>
        </row>
        <row r="7">
          <cell r="D7">
            <v>501.25000000000006</v>
          </cell>
        </row>
        <row r="8">
          <cell r="D8">
            <v>384.5</v>
          </cell>
        </row>
        <row r="9">
          <cell r="D9">
            <v>440.5</v>
          </cell>
        </row>
        <row r="10">
          <cell r="D10">
            <v>305.1</v>
          </cell>
        </row>
        <row r="11">
          <cell r="D11">
            <v>695.8</v>
          </cell>
        </row>
        <row r="12">
          <cell r="D12">
            <v>302.9</v>
          </cell>
        </row>
        <row r="13">
          <cell r="D13">
            <v>529.9300000000001</v>
          </cell>
        </row>
        <row r="14">
          <cell r="D14">
            <v>574.4000000000001</v>
          </cell>
        </row>
        <row r="15">
          <cell r="D15">
            <v>487.25</v>
          </cell>
        </row>
        <row r="16">
          <cell r="D16">
            <v>549.5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mission Factor "/>
      <sheetName val="สรุปการคำนวณ"/>
      <sheetName val="CH4จากระบบ septic tank"/>
      <sheetName val="CH4จากบ่อบำบัดน้ำเสีย"/>
      <sheetName val="ก๊าซเรือนกระจกแยกตามรายการ"/>
      <sheetName val="ก๊าซเรือนกระจก-ต่อคน-ต่อพื้นที่"/>
      <sheetName val="ก๊าซเรือนกระจก-แยกตามประเภท"/>
    </sheetNames>
    <sheetDataSet>
      <sheetData sheetId="1">
        <row r="12">
          <cell r="B12" t="str">
            <v>น้ำมัน Diesel </v>
          </cell>
        </row>
        <row r="13">
          <cell r="B13" t="str">
            <v>น้ำมัน Gasohol 91, E20, E85</v>
          </cell>
        </row>
        <row r="14">
          <cell r="B14" t="str">
            <v>น้ำมัน Gasohol 95</v>
          </cell>
        </row>
        <row r="19">
          <cell r="B19" t="str">
            <v>การใช้พลังงานไฟฟ้า</v>
          </cell>
        </row>
        <row r="20">
          <cell r="B20" t="str">
            <v>การใช้กระดาษ A4 และ A3 (สีขาว)</v>
          </cell>
        </row>
        <row r="22">
          <cell r="B22" t="str">
            <v>น้ำประปา-การประปาส่วนภูมิภาค</v>
          </cell>
        </row>
        <row r="23">
          <cell r="B23" t="str">
            <v>ขยะของเสีย (ฝังกลบ)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ission Factor "/>
      <sheetName val="สรุปการคำนวณ"/>
      <sheetName val="CH4จากระบบ septic tank"/>
      <sheetName val="CH4จากบ่อบำบัดน้ำเสีย"/>
      <sheetName val="ก๊าซเรือนกระจกแยกตามรายการ"/>
    </sheetNames>
    <sheetDataSet>
      <sheetData sheetId="1">
        <row r="24">
          <cell r="G24">
            <v>13.5429478026</v>
          </cell>
          <cell r="I24">
            <v>14.17868770700001</v>
          </cell>
          <cell r="K24">
            <v>17.80153672779999</v>
          </cell>
          <cell r="M24">
            <v>17.998516221600003</v>
          </cell>
          <cell r="O24">
            <v>19.3568886264</v>
          </cell>
          <cell r="Q24">
            <v>21.2099222416</v>
          </cell>
          <cell r="S24">
            <v>16.2356771372</v>
          </cell>
          <cell r="U24">
            <v>19.348989148799998</v>
          </cell>
          <cell r="W24">
            <v>20.391807628800006</v>
          </cell>
          <cell r="Y24">
            <v>15.490145505800001</v>
          </cell>
          <cell r="AA24">
            <v>17.0778054236</v>
          </cell>
          <cell r="AC24">
            <v>11.894677683800003</v>
          </cell>
        </row>
        <row r="28">
          <cell r="C28">
            <v>40.224869187</v>
          </cell>
        </row>
        <row r="29">
          <cell r="C29">
            <v>147.35588030800002</v>
          </cell>
        </row>
        <row r="30">
          <cell r="C30">
            <v>16.94685236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SheetLayoutView="80" zoomScalePageLayoutView="0" workbookViewId="0" topLeftCell="A1">
      <pane xSplit="9108" ySplit="2736" topLeftCell="H20" activePane="bottomRight" state="split"/>
      <selection pane="topLeft" activeCell="L10" sqref="L10"/>
      <selection pane="topRight" activeCell="L10" sqref="L10"/>
      <selection pane="bottomLeft" activeCell="C25" sqref="C25"/>
      <selection pane="bottomRight" activeCell="H22" sqref="H22"/>
    </sheetView>
  </sheetViews>
  <sheetFormatPr defaultColWidth="9.00390625" defaultRowHeight="24.75" customHeight="1"/>
  <cols>
    <col min="1" max="1" width="9.57421875" style="35" customWidth="1"/>
    <col min="2" max="2" width="33.421875" style="36" customWidth="1"/>
    <col min="3" max="3" width="7.8515625" style="36" customWidth="1"/>
    <col min="4" max="4" width="10.7109375" style="36" customWidth="1"/>
    <col min="5" max="5" width="10.421875" style="36" customWidth="1"/>
    <col min="6" max="6" width="6.7109375" style="66" customWidth="1"/>
    <col min="7" max="7" width="6.7109375" style="56" customWidth="1"/>
    <col min="8" max="8" width="6.7109375" style="66" customWidth="1"/>
    <col min="9" max="9" width="6.7109375" style="56" customWidth="1"/>
    <col min="10" max="10" width="6.7109375" style="69" customWidth="1"/>
    <col min="11" max="11" width="6.7109375" style="56" customWidth="1"/>
    <col min="12" max="12" width="6.7109375" style="66" customWidth="1"/>
    <col min="13" max="13" width="6.7109375" style="56" customWidth="1"/>
    <col min="14" max="14" width="6.7109375" style="66" customWidth="1"/>
    <col min="15" max="15" width="6.7109375" style="56" customWidth="1"/>
    <col min="16" max="16" width="6.7109375" style="66" customWidth="1"/>
    <col min="17" max="17" width="6.7109375" style="56" customWidth="1"/>
    <col min="18" max="18" width="6.7109375" style="66" customWidth="1"/>
    <col min="19" max="19" width="6.7109375" style="56" customWidth="1"/>
    <col min="20" max="20" width="6.7109375" style="66" customWidth="1"/>
    <col min="21" max="21" width="6.7109375" style="56" customWidth="1"/>
    <col min="22" max="22" width="6.7109375" style="66" customWidth="1"/>
    <col min="23" max="23" width="6.7109375" style="56" customWidth="1"/>
    <col min="24" max="24" width="6.7109375" style="66" customWidth="1"/>
    <col min="25" max="25" width="6.7109375" style="56" customWidth="1"/>
    <col min="26" max="26" width="6.7109375" style="66" customWidth="1"/>
    <col min="27" max="27" width="6.7109375" style="56" customWidth="1"/>
    <col min="28" max="28" width="6.7109375" style="66" customWidth="1"/>
    <col min="29" max="29" width="6.7109375" style="56" customWidth="1"/>
    <col min="30" max="31" width="6.7109375" style="36" customWidth="1"/>
    <col min="32" max="32" width="9.00390625" style="36" customWidth="1"/>
    <col min="33" max="16384" width="9.00390625" style="36" customWidth="1"/>
  </cols>
  <sheetData>
    <row r="1" ht="24.75" customHeight="1">
      <c r="AE1" s="37" t="s">
        <v>101</v>
      </c>
    </row>
    <row r="2" spans="1:31" ht="24.75" customHeight="1">
      <c r="A2" s="251" t="s">
        <v>100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2"/>
    </row>
    <row r="3" spans="1:31" s="35" customFormat="1" ht="24.75" customHeight="1">
      <c r="A3" s="246" t="s">
        <v>0</v>
      </c>
      <c r="B3" s="246" t="s">
        <v>17</v>
      </c>
      <c r="C3" s="246" t="s">
        <v>2</v>
      </c>
      <c r="D3" s="246" t="s">
        <v>3</v>
      </c>
      <c r="E3" s="246" t="s">
        <v>99</v>
      </c>
      <c r="F3" s="82" t="s">
        <v>102</v>
      </c>
      <c r="G3" s="80"/>
      <c r="H3" s="81"/>
      <c r="I3" s="80"/>
      <c r="J3" s="81"/>
      <c r="K3" s="80"/>
      <c r="L3" s="81"/>
      <c r="M3" s="80"/>
      <c r="N3" s="81"/>
      <c r="O3" s="80"/>
      <c r="P3" s="81"/>
      <c r="Q3" s="80"/>
      <c r="R3" s="81"/>
      <c r="S3" s="80"/>
      <c r="T3" s="81"/>
      <c r="U3" s="80"/>
      <c r="V3" s="81"/>
      <c r="W3" s="80"/>
      <c r="X3" s="81"/>
      <c r="Y3" s="80"/>
      <c r="Z3" s="81"/>
      <c r="AA3" s="80"/>
      <c r="AB3" s="81"/>
      <c r="AC3" s="80"/>
      <c r="AD3" s="53"/>
      <c r="AE3" s="246" t="s">
        <v>3</v>
      </c>
    </row>
    <row r="4" spans="1:31" s="35" customFormat="1" ht="24.75" customHeight="1">
      <c r="A4" s="247"/>
      <c r="B4" s="247"/>
      <c r="C4" s="247"/>
      <c r="D4" s="247"/>
      <c r="E4" s="247"/>
      <c r="F4" s="251" t="s">
        <v>18</v>
      </c>
      <c r="G4" s="252"/>
      <c r="H4" s="251" t="s">
        <v>19</v>
      </c>
      <c r="I4" s="252"/>
      <c r="J4" s="251" t="s">
        <v>20</v>
      </c>
      <c r="K4" s="252"/>
      <c r="L4" s="251" t="s">
        <v>21</v>
      </c>
      <c r="M4" s="252"/>
      <c r="N4" s="251" t="s">
        <v>81</v>
      </c>
      <c r="O4" s="252"/>
      <c r="P4" s="251" t="s">
        <v>82</v>
      </c>
      <c r="Q4" s="252"/>
      <c r="R4" s="251" t="s">
        <v>23</v>
      </c>
      <c r="S4" s="252"/>
      <c r="T4" s="251" t="s">
        <v>24</v>
      </c>
      <c r="U4" s="252"/>
      <c r="V4" s="251" t="s">
        <v>25</v>
      </c>
      <c r="W4" s="252"/>
      <c r="X4" s="251" t="s">
        <v>26</v>
      </c>
      <c r="Y4" s="252"/>
      <c r="Z4" s="251" t="s">
        <v>22</v>
      </c>
      <c r="AA4" s="252"/>
      <c r="AB4" s="251" t="s">
        <v>27</v>
      </c>
      <c r="AC4" s="252"/>
      <c r="AD4" s="249" t="s">
        <v>28</v>
      </c>
      <c r="AE4" s="247"/>
    </row>
    <row r="5" spans="1:31" s="35" customFormat="1" ht="24.75" customHeight="1">
      <c r="A5" s="248"/>
      <c r="B5" s="248"/>
      <c r="C5" s="248"/>
      <c r="D5" s="248"/>
      <c r="E5" s="248"/>
      <c r="F5" s="75" t="s">
        <v>1</v>
      </c>
      <c r="G5" s="76" t="s">
        <v>12</v>
      </c>
      <c r="H5" s="75" t="s">
        <v>1</v>
      </c>
      <c r="I5" s="76" t="s">
        <v>12</v>
      </c>
      <c r="J5" s="75" t="s">
        <v>1</v>
      </c>
      <c r="K5" s="76" t="s">
        <v>12</v>
      </c>
      <c r="L5" s="75" t="s">
        <v>1</v>
      </c>
      <c r="M5" s="76" t="s">
        <v>12</v>
      </c>
      <c r="N5" s="75" t="s">
        <v>1</v>
      </c>
      <c r="O5" s="76" t="s">
        <v>12</v>
      </c>
      <c r="P5" s="75" t="s">
        <v>1</v>
      </c>
      <c r="Q5" s="76" t="s">
        <v>12</v>
      </c>
      <c r="R5" s="75" t="s">
        <v>1</v>
      </c>
      <c r="S5" s="76" t="s">
        <v>12</v>
      </c>
      <c r="T5" s="75" t="s">
        <v>1</v>
      </c>
      <c r="U5" s="76" t="s">
        <v>12</v>
      </c>
      <c r="V5" s="75" t="s">
        <v>1</v>
      </c>
      <c r="W5" s="76" t="s">
        <v>12</v>
      </c>
      <c r="X5" s="75" t="s">
        <v>1</v>
      </c>
      <c r="Y5" s="76" t="s">
        <v>12</v>
      </c>
      <c r="Z5" s="75" t="s">
        <v>1</v>
      </c>
      <c r="AA5" s="76" t="s">
        <v>12</v>
      </c>
      <c r="AB5" s="75" t="s">
        <v>1</v>
      </c>
      <c r="AC5" s="57" t="s">
        <v>12</v>
      </c>
      <c r="AD5" s="250"/>
      <c r="AE5" s="248"/>
    </row>
    <row r="6" spans="1:31" ht="24.75" customHeight="1">
      <c r="A6" s="38" t="s">
        <v>4</v>
      </c>
      <c r="B6" s="39" t="s">
        <v>31</v>
      </c>
      <c r="C6" s="110"/>
      <c r="D6" s="54"/>
      <c r="E6" s="106"/>
      <c r="F6" s="67"/>
      <c r="G6" s="58"/>
      <c r="H6" s="68"/>
      <c r="I6" s="60"/>
      <c r="J6" s="70"/>
      <c r="K6" s="60"/>
      <c r="L6" s="68"/>
      <c r="M6" s="60"/>
      <c r="N6" s="68"/>
      <c r="O6" s="60"/>
      <c r="P6" s="68"/>
      <c r="Q6" s="60"/>
      <c r="R6" s="68"/>
      <c r="S6" s="60"/>
      <c r="T6" s="68"/>
      <c r="U6" s="60"/>
      <c r="V6" s="68"/>
      <c r="W6" s="60"/>
      <c r="X6" s="68"/>
      <c r="Y6" s="60"/>
      <c r="Z6" s="68"/>
      <c r="AA6" s="60"/>
      <c r="AB6" s="68"/>
      <c r="AC6" s="60"/>
      <c r="AD6" s="41"/>
      <c r="AE6" s="40"/>
    </row>
    <row r="7" spans="1:31" ht="24.75" customHeight="1">
      <c r="A7" s="38"/>
      <c r="B7" s="39" t="s">
        <v>32</v>
      </c>
      <c r="C7" s="110"/>
      <c r="D7" s="54"/>
      <c r="E7" s="106"/>
      <c r="F7" s="67"/>
      <c r="G7" s="58"/>
      <c r="H7" s="68"/>
      <c r="I7" s="60"/>
      <c r="J7" s="70"/>
      <c r="K7" s="60"/>
      <c r="L7" s="68"/>
      <c r="M7" s="60"/>
      <c r="N7" s="68"/>
      <c r="O7" s="60"/>
      <c r="P7" s="68"/>
      <c r="Q7" s="60"/>
      <c r="R7" s="68"/>
      <c r="S7" s="60"/>
      <c r="T7" s="68"/>
      <c r="U7" s="60"/>
      <c r="V7" s="68"/>
      <c r="W7" s="60"/>
      <c r="X7" s="68"/>
      <c r="Y7" s="60"/>
      <c r="Z7" s="68"/>
      <c r="AA7" s="60"/>
      <c r="AB7" s="68"/>
      <c r="AC7" s="60"/>
      <c r="AD7" s="41"/>
      <c r="AE7" s="42"/>
    </row>
    <row r="8" spans="1:31" ht="24.75" customHeight="1">
      <c r="A8" s="242"/>
      <c r="B8" s="77" t="s">
        <v>33</v>
      </c>
      <c r="C8" s="78">
        <v>2.708</v>
      </c>
      <c r="D8" s="107" t="s">
        <v>13</v>
      </c>
      <c r="E8" s="108" t="s">
        <v>5</v>
      </c>
      <c r="F8" s="103"/>
      <c r="G8" s="223">
        <f>F8*$C8</f>
        <v>0</v>
      </c>
      <c r="H8" s="224"/>
      <c r="I8" s="223">
        <f aca="true" t="shared" si="0" ref="I8:I23">H8*$C8</f>
        <v>0</v>
      </c>
      <c r="J8" s="224"/>
      <c r="K8" s="223">
        <f aca="true" t="shared" si="1" ref="K8:K23">J8*$C8</f>
        <v>0</v>
      </c>
      <c r="L8" s="224"/>
      <c r="M8" s="223">
        <f aca="true" t="shared" si="2" ref="M8:M23">L8*$C8</f>
        <v>0</v>
      </c>
      <c r="N8" s="224"/>
      <c r="O8" s="223">
        <f aca="true" t="shared" si="3" ref="O8:O23">N8*$C8</f>
        <v>0</v>
      </c>
      <c r="P8" s="224"/>
      <c r="Q8" s="223">
        <f aca="true" t="shared" si="4" ref="Q8:Q23">P8*$C8</f>
        <v>0</v>
      </c>
      <c r="R8" s="224"/>
      <c r="S8" s="223">
        <f aca="true" t="shared" si="5" ref="S8:S23">R8*$C8</f>
        <v>0</v>
      </c>
      <c r="T8" s="224"/>
      <c r="U8" s="223">
        <f aca="true" t="shared" si="6" ref="U8:U23">T8*$C8</f>
        <v>0</v>
      </c>
      <c r="V8" s="224"/>
      <c r="W8" s="223">
        <f aca="true" t="shared" si="7" ref="W8:W23">V8*$C8</f>
        <v>0</v>
      </c>
      <c r="X8" s="224"/>
      <c r="Y8" s="223">
        <f aca="true" t="shared" si="8" ref="Y8:Y23">X8*$C8</f>
        <v>0</v>
      </c>
      <c r="Z8" s="224"/>
      <c r="AA8" s="223">
        <f aca="true" t="shared" si="9" ref="AA8:AA23">Z8*$C8</f>
        <v>0</v>
      </c>
      <c r="AB8" s="224"/>
      <c r="AC8" s="223">
        <f aca="true" t="shared" si="10" ref="AC8:AC23">AB8*$C8</f>
        <v>0</v>
      </c>
      <c r="AD8" s="43">
        <f>G8+I8+K8+M8+O8+Q8+S8+U8+W8+Y8+AA8+AC8</f>
        <v>0</v>
      </c>
      <c r="AE8" s="40" t="s">
        <v>30</v>
      </c>
    </row>
    <row r="9" spans="1:31" ht="24.75" customHeight="1">
      <c r="A9" s="44"/>
      <c r="B9" s="77" t="s">
        <v>34</v>
      </c>
      <c r="C9" s="78">
        <v>2.708</v>
      </c>
      <c r="D9" s="107" t="s">
        <v>13</v>
      </c>
      <c r="E9" s="108" t="s">
        <v>5</v>
      </c>
      <c r="F9" s="103"/>
      <c r="G9" s="223">
        <f>F9*$C9</f>
        <v>0</v>
      </c>
      <c r="H9" s="224"/>
      <c r="I9" s="223">
        <f t="shared" si="0"/>
        <v>0</v>
      </c>
      <c r="J9" s="224"/>
      <c r="K9" s="223">
        <f t="shared" si="1"/>
        <v>0</v>
      </c>
      <c r="L9" s="224"/>
      <c r="M9" s="223">
        <f t="shared" si="2"/>
        <v>0</v>
      </c>
      <c r="N9" s="224"/>
      <c r="O9" s="223">
        <f t="shared" si="3"/>
        <v>0</v>
      </c>
      <c r="P9" s="224"/>
      <c r="Q9" s="223">
        <f t="shared" si="4"/>
        <v>0</v>
      </c>
      <c r="R9" s="224"/>
      <c r="S9" s="223">
        <f t="shared" si="5"/>
        <v>0</v>
      </c>
      <c r="T9" s="224"/>
      <c r="U9" s="223">
        <f t="shared" si="6"/>
        <v>0</v>
      </c>
      <c r="V9" s="224"/>
      <c r="W9" s="223">
        <f t="shared" si="7"/>
        <v>0</v>
      </c>
      <c r="X9" s="224"/>
      <c r="Y9" s="223">
        <f t="shared" si="8"/>
        <v>0</v>
      </c>
      <c r="Z9" s="224"/>
      <c r="AA9" s="223">
        <f t="shared" si="9"/>
        <v>0</v>
      </c>
      <c r="AB9" s="224"/>
      <c r="AC9" s="223">
        <f t="shared" si="10"/>
        <v>0</v>
      </c>
      <c r="AD9" s="43">
        <f>G9+I9+K9+M9+O9+Q9+S9+U9+W9+Y9+AA9+AC9</f>
        <v>0</v>
      </c>
      <c r="AE9" s="40" t="s">
        <v>30</v>
      </c>
    </row>
    <row r="10" spans="1:31" ht="24.75" customHeight="1">
      <c r="A10" s="44"/>
      <c r="B10" s="44" t="s">
        <v>35</v>
      </c>
      <c r="C10" s="55"/>
      <c r="D10" s="54"/>
      <c r="E10" s="106"/>
      <c r="F10" s="103"/>
      <c r="G10" s="104"/>
      <c r="H10" s="108"/>
      <c r="I10" s="104"/>
      <c r="J10" s="108"/>
      <c r="K10" s="104"/>
      <c r="L10" s="108"/>
      <c r="M10" s="104"/>
      <c r="N10" s="108"/>
      <c r="O10" s="104"/>
      <c r="P10" s="108"/>
      <c r="Q10" s="104"/>
      <c r="R10" s="108"/>
      <c r="S10" s="104"/>
      <c r="T10" s="108"/>
      <c r="U10" s="104"/>
      <c r="V10" s="108"/>
      <c r="W10" s="104"/>
      <c r="X10" s="108"/>
      <c r="Y10" s="104"/>
      <c r="Z10" s="108"/>
      <c r="AA10" s="104"/>
      <c r="AB10" s="108"/>
      <c r="AC10" s="104"/>
      <c r="AD10" s="43"/>
      <c r="AE10" s="40"/>
    </row>
    <row r="11" spans="1:31" ht="51" customHeight="1">
      <c r="A11" s="44"/>
      <c r="B11" s="44" t="s">
        <v>36</v>
      </c>
      <c r="C11" s="55"/>
      <c r="D11" s="54"/>
      <c r="E11" s="106"/>
      <c r="F11" s="103"/>
      <c r="G11" s="104"/>
      <c r="H11" s="108"/>
      <c r="I11" s="104"/>
      <c r="J11" s="108"/>
      <c r="K11" s="104"/>
      <c r="L11" s="108"/>
      <c r="M11" s="104"/>
      <c r="N11" s="108"/>
      <c r="O11" s="104"/>
      <c r="P11" s="108"/>
      <c r="Q11" s="104"/>
      <c r="R11" s="108"/>
      <c r="S11" s="104"/>
      <c r="T11" s="108"/>
      <c r="U11" s="104"/>
      <c r="V11" s="108"/>
      <c r="W11" s="104"/>
      <c r="X11" s="108"/>
      <c r="Y11" s="104"/>
      <c r="Z11" s="108"/>
      <c r="AA11" s="104"/>
      <c r="AB11" s="108"/>
      <c r="AC11" s="104"/>
      <c r="AD11" s="43"/>
      <c r="AE11" s="40"/>
    </row>
    <row r="12" spans="1:31" s="86" customFormat="1" ht="24.75" customHeight="1">
      <c r="A12" s="83"/>
      <c r="B12" s="84" t="s">
        <v>37</v>
      </c>
      <c r="C12" s="111">
        <v>2.7446</v>
      </c>
      <c r="D12" s="90" t="s">
        <v>13</v>
      </c>
      <c r="E12" s="91" t="s">
        <v>5</v>
      </c>
      <c r="F12" s="105">
        <f>'[1]น้ำมันเชื้อเพลิง'!$D$5</f>
        <v>677.565</v>
      </c>
      <c r="G12" s="89">
        <f aca="true" t="shared" si="11" ref="G12:G23">F12*$C12</f>
        <v>1859.6448990000004</v>
      </c>
      <c r="H12" s="105">
        <f>'[1]น้ำมันเชื้อเพลิง'!$D$6</f>
        <v>421.677</v>
      </c>
      <c r="I12" s="89">
        <f t="shared" si="0"/>
        <v>1157.3346942</v>
      </c>
      <c r="J12" s="105">
        <f>'[1]น้ำมันเชื้อเพลิง'!$D$7</f>
        <v>624.713</v>
      </c>
      <c r="K12" s="89">
        <f t="shared" si="1"/>
        <v>1714.5872998</v>
      </c>
      <c r="L12" s="105">
        <f>'[1]น้ำมันเชื้อเพลิง'!$D$8</f>
        <v>354.715</v>
      </c>
      <c r="M12" s="89">
        <f t="shared" si="2"/>
        <v>973.550789</v>
      </c>
      <c r="N12" s="105">
        <f>'[1]น้ำมันเชื้อเพลิง'!$D$9</f>
        <v>364.725</v>
      </c>
      <c r="O12" s="89">
        <f t="shared" si="3"/>
        <v>1001.0242350000001</v>
      </c>
      <c r="P12" s="105">
        <f>'[1]น้ำมันเชื้อเพลิง'!$D$10</f>
        <v>1145.091</v>
      </c>
      <c r="Q12" s="89">
        <f t="shared" si="4"/>
        <v>3142.8167586</v>
      </c>
      <c r="R12" s="105">
        <f>'[1]น้ำมันเชื้อเพลิง'!$D$11</f>
        <v>280.007</v>
      </c>
      <c r="S12" s="89">
        <f t="shared" si="5"/>
        <v>768.5072122</v>
      </c>
      <c r="T12" s="105">
        <f>'[1]น้ำมันเชื้อเพลิง'!$D$12</f>
        <v>574.796</v>
      </c>
      <c r="U12" s="89">
        <f t="shared" si="6"/>
        <v>1577.5851016000001</v>
      </c>
      <c r="V12" s="105">
        <f>'[1]น้ำมันเชื้อเพลิง'!$D$13</f>
        <v>872.603</v>
      </c>
      <c r="W12" s="89">
        <f t="shared" si="7"/>
        <v>2394.9461938</v>
      </c>
      <c r="X12" s="105">
        <f>'[1]น้ำมันเชื้อเพลิง'!$D$14</f>
        <v>673.91</v>
      </c>
      <c r="Y12" s="89">
        <f t="shared" si="8"/>
        <v>1849.613386</v>
      </c>
      <c r="Z12" s="105">
        <f>'[1]น้ำมันเชื้อเพลิง'!$D$15</f>
        <v>397.727</v>
      </c>
      <c r="AA12" s="89">
        <f t="shared" si="9"/>
        <v>1091.6015242</v>
      </c>
      <c r="AB12" s="105">
        <f>'[1]น้ำมันเชื้อเพลิง'!$D$16</f>
        <v>761.68</v>
      </c>
      <c r="AC12" s="89">
        <f t="shared" si="10"/>
        <v>2090.506928</v>
      </c>
      <c r="AD12" s="92">
        <f aca="true" t="shared" si="12" ref="AD12:AD21">G12+I12+K12+M12+O12+Q12+S12+U12+W12+Y12+AA12+AC12</f>
        <v>19621.7190214</v>
      </c>
      <c r="AE12" s="85" t="s">
        <v>30</v>
      </c>
    </row>
    <row r="13" spans="1:31" s="86" customFormat="1" ht="24.75" customHeight="1">
      <c r="A13" s="83"/>
      <c r="B13" s="84" t="s">
        <v>75</v>
      </c>
      <c r="C13" s="111">
        <v>2.1896</v>
      </c>
      <c r="D13" s="90" t="s">
        <v>13</v>
      </c>
      <c r="E13" s="91" t="s">
        <v>5</v>
      </c>
      <c r="F13" s="105">
        <f>'[1]น้ำมันเชื้อเพลิง'!$F$5</f>
        <v>26.136</v>
      </c>
      <c r="G13" s="89">
        <f t="shared" si="11"/>
        <v>57.2273856</v>
      </c>
      <c r="H13" s="105">
        <f>'[1]น้ำมันเชื้อเพลิง'!$F$6</f>
        <v>40.506</v>
      </c>
      <c r="I13" s="89">
        <f t="shared" si="0"/>
        <v>88.6919376</v>
      </c>
      <c r="J13" s="105">
        <f>'[1]น้ำมันเชื้อเพลิง'!$F$7</f>
        <v>22.233</v>
      </c>
      <c r="K13" s="89">
        <f t="shared" si="1"/>
        <v>48.6813768</v>
      </c>
      <c r="L13" s="105">
        <f>'[1]น้ำมันเชื้อเพลิง'!$F$8</f>
        <v>20.163</v>
      </c>
      <c r="M13" s="89">
        <f t="shared" si="2"/>
        <v>44.1489048</v>
      </c>
      <c r="N13" s="105">
        <f>'[1]น้ำมันเชื้อเพลิง'!$F$9</f>
        <v>34.351</v>
      </c>
      <c r="O13" s="89">
        <f t="shared" si="3"/>
        <v>75.2149496</v>
      </c>
      <c r="P13" s="105">
        <f>'[1]น้ำมันเชื้อเพลิง'!$F$10</f>
        <v>64.565</v>
      </c>
      <c r="Q13" s="89">
        <f t="shared" si="4"/>
        <v>141.371524</v>
      </c>
      <c r="R13" s="105">
        <f>'[1]น้ำมันเชื้อเพลิง'!$F$11</f>
        <v>23.827</v>
      </c>
      <c r="S13" s="89">
        <f t="shared" si="5"/>
        <v>52.1715992</v>
      </c>
      <c r="T13" s="105">
        <f>'[1]น้ำมันเชื้อเพลิง'!$F$12</f>
        <v>22.012</v>
      </c>
      <c r="U13" s="89">
        <f t="shared" si="6"/>
        <v>48.1974752</v>
      </c>
      <c r="V13" s="105">
        <f>'[1]น้ำมันเชื้อเพลิง'!$F$13</f>
        <v>37.444</v>
      </c>
      <c r="W13" s="89">
        <f t="shared" si="7"/>
        <v>81.9873824</v>
      </c>
      <c r="X13" s="105">
        <f>'[1]น้ำมันเชื้อเพลิง'!$F$14</f>
        <v>23.571</v>
      </c>
      <c r="Y13" s="89">
        <f t="shared" si="8"/>
        <v>51.611061600000006</v>
      </c>
      <c r="Z13" s="105">
        <f>'[1]น้ำมันเชื้อเพลิง'!$F$15</f>
        <v>23.358</v>
      </c>
      <c r="AA13" s="89">
        <f t="shared" si="9"/>
        <v>51.1446768</v>
      </c>
      <c r="AB13" s="105">
        <f>'[1]น้ำมันเชื้อเพลิง'!$F$16</f>
        <v>40.467</v>
      </c>
      <c r="AC13" s="89">
        <f t="shared" si="10"/>
        <v>88.60654319999999</v>
      </c>
      <c r="AD13" s="92">
        <f t="shared" si="12"/>
        <v>829.0548168</v>
      </c>
      <c r="AE13" s="85" t="s">
        <v>30</v>
      </c>
    </row>
    <row r="14" spans="1:31" s="86" customFormat="1" ht="24.75" customHeight="1">
      <c r="A14" s="83"/>
      <c r="B14" s="84" t="s">
        <v>38</v>
      </c>
      <c r="C14" s="111">
        <v>2.1896</v>
      </c>
      <c r="D14" s="90" t="s">
        <v>13</v>
      </c>
      <c r="E14" s="91" t="s">
        <v>5</v>
      </c>
      <c r="F14" s="105">
        <f>'[1]น้ำมันเชื้อเพลิง'!$H$5</f>
        <v>15.705</v>
      </c>
      <c r="G14" s="89">
        <f t="shared" si="11"/>
        <v>34.387668</v>
      </c>
      <c r="H14" s="105">
        <f>'[1]น้ำมันเชื้อเพลิง'!$H$6</f>
        <v>25.002</v>
      </c>
      <c r="I14" s="89">
        <f t="shared" si="0"/>
        <v>54.7443792</v>
      </c>
      <c r="J14" s="105">
        <f>'[1]น้ำมันเชื้อเพลิง'!$H$7</f>
        <v>12.467</v>
      </c>
      <c r="K14" s="89">
        <f t="shared" si="1"/>
        <v>27.2977432</v>
      </c>
      <c r="L14" s="105">
        <f>'[1]น้ำมันเชื้อเพลิง'!$H$8</f>
        <v>15.578</v>
      </c>
      <c r="M14" s="89">
        <f t="shared" si="2"/>
        <v>34.1095888</v>
      </c>
      <c r="N14" s="105">
        <f>'[1]น้ำมันเชื้อเพลิง'!$H$9</f>
        <v>26.72</v>
      </c>
      <c r="O14" s="89">
        <f t="shared" si="3"/>
        <v>58.506111999999995</v>
      </c>
      <c r="P14" s="105">
        <f>'[1]น้ำมันเชื้อเพลิง'!$H$10</f>
        <v>13.164</v>
      </c>
      <c r="Q14" s="89">
        <f t="shared" si="4"/>
        <v>28.8238944</v>
      </c>
      <c r="R14" s="105">
        <f>'[1]น้ำมันเชื้อเพลิง'!$H$11</f>
        <v>27.404</v>
      </c>
      <c r="S14" s="89">
        <f t="shared" si="5"/>
        <v>60.0037984</v>
      </c>
      <c r="T14" s="105">
        <f>'[1]น้ำมันเชื้อเพลิง'!$H$12</f>
        <v>17.151</v>
      </c>
      <c r="U14" s="89">
        <f t="shared" si="6"/>
        <v>37.5538296</v>
      </c>
      <c r="V14" s="105">
        <f>'[1]น้ำมันเชื้อเพลิง'!$H$13</f>
        <v>15.805</v>
      </c>
      <c r="W14" s="89">
        <f t="shared" si="7"/>
        <v>34.606628</v>
      </c>
      <c r="X14" s="105">
        <f>'[1]น้ำมันเชื้อเพลิง'!$H$14</f>
        <v>32.515</v>
      </c>
      <c r="Y14" s="89">
        <f t="shared" si="8"/>
        <v>71.194844</v>
      </c>
      <c r="Z14" s="105">
        <f>'[1]น้ำมันเชื้อเพลิง'!$H$15</f>
        <v>28.106</v>
      </c>
      <c r="AA14" s="89">
        <f t="shared" si="9"/>
        <v>61.5408976</v>
      </c>
      <c r="AB14" s="105">
        <f>'[1]น้ำมันเชื้อเพลิง'!$H$16</f>
        <v>19.799</v>
      </c>
      <c r="AC14" s="89">
        <f t="shared" si="10"/>
        <v>43.3518904</v>
      </c>
      <c r="AD14" s="92">
        <f t="shared" si="12"/>
        <v>546.1212736</v>
      </c>
      <c r="AE14" s="85" t="s">
        <v>30</v>
      </c>
    </row>
    <row r="15" spans="1:31" s="96" customFormat="1" ht="24.75" customHeight="1">
      <c r="A15" s="93"/>
      <c r="B15" s="93" t="s">
        <v>73</v>
      </c>
      <c r="C15" s="78">
        <v>1</v>
      </c>
      <c r="D15" s="109" t="s">
        <v>74</v>
      </c>
      <c r="E15" s="97" t="s">
        <v>10</v>
      </c>
      <c r="F15" s="97"/>
      <c r="G15" s="104">
        <f t="shared" si="11"/>
        <v>0</v>
      </c>
      <c r="H15" s="97"/>
      <c r="I15" s="104">
        <f t="shared" si="0"/>
        <v>0</v>
      </c>
      <c r="J15" s="97"/>
      <c r="K15" s="104">
        <f t="shared" si="1"/>
        <v>0</v>
      </c>
      <c r="L15" s="97"/>
      <c r="M15" s="104">
        <f t="shared" si="2"/>
        <v>0</v>
      </c>
      <c r="N15" s="97"/>
      <c r="O15" s="104">
        <f t="shared" si="3"/>
        <v>0</v>
      </c>
      <c r="P15" s="97"/>
      <c r="Q15" s="104">
        <f t="shared" si="4"/>
        <v>0</v>
      </c>
      <c r="R15" s="97"/>
      <c r="S15" s="104">
        <f t="shared" si="5"/>
        <v>0</v>
      </c>
      <c r="T15" s="97"/>
      <c r="U15" s="104">
        <f t="shared" si="6"/>
        <v>0</v>
      </c>
      <c r="V15" s="97"/>
      <c r="W15" s="104">
        <f t="shared" si="7"/>
        <v>0</v>
      </c>
      <c r="X15" s="97"/>
      <c r="Y15" s="104">
        <f t="shared" si="8"/>
        <v>0</v>
      </c>
      <c r="Z15" s="97"/>
      <c r="AA15" s="104">
        <f t="shared" si="9"/>
        <v>0</v>
      </c>
      <c r="AB15" s="97"/>
      <c r="AC15" s="104">
        <f t="shared" si="10"/>
        <v>0</v>
      </c>
      <c r="AD15" s="95">
        <f t="shared" si="12"/>
        <v>0</v>
      </c>
      <c r="AE15" s="94" t="s">
        <v>30</v>
      </c>
    </row>
    <row r="16" spans="1:31" s="96" customFormat="1" ht="24.75" customHeight="1">
      <c r="A16" s="225"/>
      <c r="B16" s="226" t="s">
        <v>71</v>
      </c>
      <c r="C16" s="227">
        <v>25</v>
      </c>
      <c r="D16" s="228" t="s">
        <v>70</v>
      </c>
      <c r="E16" s="229" t="s">
        <v>40</v>
      </c>
      <c r="F16" s="232">
        <f>'CH4จากระบบ septic tank'!$C$4</f>
        <v>50.4</v>
      </c>
      <c r="G16" s="89">
        <f t="shared" si="11"/>
        <v>1260</v>
      </c>
      <c r="H16" s="231">
        <f>'CH4จากระบบ septic tank'!$D$4</f>
        <v>48</v>
      </c>
      <c r="I16" s="89">
        <f t="shared" si="0"/>
        <v>1200</v>
      </c>
      <c r="J16" s="231">
        <f>'CH4จากระบบ septic tank'!$E$4</f>
        <v>50.4</v>
      </c>
      <c r="K16" s="89">
        <f t="shared" si="1"/>
        <v>1260</v>
      </c>
      <c r="L16" s="231">
        <f>'CH4จากระบบ septic tank'!$F$4</f>
        <v>40.800000000000004</v>
      </c>
      <c r="M16" s="89">
        <f t="shared" si="2"/>
        <v>1020.0000000000001</v>
      </c>
      <c r="N16" s="231">
        <f>'CH4จากระบบ septic tank'!$G$4</f>
        <v>50.4</v>
      </c>
      <c r="O16" s="89">
        <f t="shared" si="3"/>
        <v>1260</v>
      </c>
      <c r="P16" s="231">
        <f>'CH4จากระบบ septic tank'!$H$4</f>
        <v>50.4</v>
      </c>
      <c r="Q16" s="89">
        <f t="shared" si="4"/>
        <v>1260</v>
      </c>
      <c r="R16" s="231">
        <f>'CH4จากระบบ septic tank'!$I$4</f>
        <v>48</v>
      </c>
      <c r="S16" s="89">
        <f t="shared" si="5"/>
        <v>1200</v>
      </c>
      <c r="T16" s="231">
        <f>'CH4จากระบบ septic tank'!$J$4</f>
        <v>52.800000000000004</v>
      </c>
      <c r="U16" s="89">
        <f t="shared" si="6"/>
        <v>1320</v>
      </c>
      <c r="V16" s="231">
        <f>'CH4จากระบบ septic tank'!$K$4</f>
        <v>48</v>
      </c>
      <c r="W16" s="89">
        <f t="shared" si="7"/>
        <v>1200</v>
      </c>
      <c r="X16" s="231">
        <f>'CH4จากระบบ septic tank'!$L$4</f>
        <v>50.4</v>
      </c>
      <c r="Y16" s="89">
        <f t="shared" si="8"/>
        <v>1260</v>
      </c>
      <c r="Z16" s="231">
        <f>'CH4จากระบบ septic tank'!$M$4</f>
        <v>52.800000000000004</v>
      </c>
      <c r="AA16" s="89">
        <f t="shared" si="9"/>
        <v>1320</v>
      </c>
      <c r="AB16" s="105">
        <f>'CH4จากระบบ septic tank'!$N$4</f>
        <v>43.2</v>
      </c>
      <c r="AC16" s="89">
        <f t="shared" si="10"/>
        <v>1080</v>
      </c>
      <c r="AD16" s="119">
        <f t="shared" si="12"/>
        <v>14640</v>
      </c>
      <c r="AE16" s="233" t="s">
        <v>30</v>
      </c>
    </row>
    <row r="17" spans="1:31" s="96" customFormat="1" ht="48.75" customHeight="1">
      <c r="A17" s="225"/>
      <c r="B17" s="225" t="s">
        <v>72</v>
      </c>
      <c r="C17" s="227">
        <v>25</v>
      </c>
      <c r="D17" s="228" t="s">
        <v>57</v>
      </c>
      <c r="E17" s="229" t="s">
        <v>40</v>
      </c>
      <c r="F17" s="231">
        <f>'CH4จากบ่อบำบัดน้ำเสีย'!$B$13</f>
        <v>10.502400000000002</v>
      </c>
      <c r="G17" s="230">
        <f t="shared" si="11"/>
        <v>262.56000000000006</v>
      </c>
      <c r="H17" s="231">
        <f>'CH4จากบ่อบำบัดน้ำเสีย'!$C$13</f>
        <v>11.193600000000002</v>
      </c>
      <c r="I17" s="230">
        <f t="shared" si="0"/>
        <v>279.84000000000003</v>
      </c>
      <c r="J17" s="231">
        <f>'CH4จากบ่อบำบัดน้ำเสีย'!$D$13</f>
        <v>13.2864</v>
      </c>
      <c r="K17" s="230">
        <f t="shared" si="1"/>
        <v>332.16</v>
      </c>
      <c r="L17" s="231">
        <f>'CH4จากบ่อบำบัดน้ำเสีย'!$E$13</f>
        <v>9.657600000000002</v>
      </c>
      <c r="M17" s="230">
        <f t="shared" si="2"/>
        <v>241.44000000000005</v>
      </c>
      <c r="N17" s="231">
        <f>'CH4จากบ่อบำบัดน้ำเสีย'!$F$13</f>
        <v>9.4464</v>
      </c>
      <c r="O17" s="230">
        <f t="shared" si="3"/>
        <v>236.16000000000003</v>
      </c>
      <c r="P17" s="231">
        <f>'CH4จากบ่อบำบัดน้ำเสีย'!$G$13</f>
        <v>8.928</v>
      </c>
      <c r="Q17" s="230">
        <f t="shared" si="4"/>
        <v>223.20000000000002</v>
      </c>
      <c r="R17" s="231">
        <f>'CH4จากบ่อบำบัดน้ำเสีย'!$H$13</f>
        <v>8.3328</v>
      </c>
      <c r="S17" s="230">
        <f t="shared" si="5"/>
        <v>208.32000000000002</v>
      </c>
      <c r="T17" s="231">
        <f>'CH4จากบ่อบำบัดน้ำเสีย'!$I$13</f>
        <v>8.352</v>
      </c>
      <c r="U17" s="230">
        <f t="shared" si="6"/>
        <v>208.8</v>
      </c>
      <c r="V17" s="231">
        <f>'CH4จากบ่อบำบัดน้ำเสีย'!$J$13</f>
        <v>6.585600000000001</v>
      </c>
      <c r="W17" s="230">
        <f t="shared" si="7"/>
        <v>164.64000000000004</v>
      </c>
      <c r="X17" s="231">
        <f>'CH4จากบ่อบำบัดน้ำเสีย'!$K$13</f>
        <v>7.161600000000001</v>
      </c>
      <c r="Y17" s="230">
        <f t="shared" si="8"/>
        <v>179.04000000000002</v>
      </c>
      <c r="Z17" s="231">
        <f>'CH4จากบ่อบำบัดน้ำเสีย'!$L$13</f>
        <v>7.9104</v>
      </c>
      <c r="AA17" s="230">
        <f t="shared" si="9"/>
        <v>197.76</v>
      </c>
      <c r="AB17" s="231">
        <f>'CH4จากบ่อบำบัดน้ำเสีย'!$M$13</f>
        <v>6.355200000000001</v>
      </c>
      <c r="AC17" s="230">
        <f t="shared" si="10"/>
        <v>158.88000000000002</v>
      </c>
      <c r="AD17" s="119">
        <f t="shared" si="12"/>
        <v>2692.8</v>
      </c>
      <c r="AE17" s="233" t="s">
        <v>30</v>
      </c>
    </row>
    <row r="18" spans="1:31" s="96" customFormat="1" ht="51" customHeight="1">
      <c r="A18" s="93"/>
      <c r="B18" s="98" t="s">
        <v>77</v>
      </c>
      <c r="C18" s="112">
        <v>1430</v>
      </c>
      <c r="D18" s="99" t="s">
        <v>58</v>
      </c>
      <c r="E18" s="99" t="s">
        <v>41</v>
      </c>
      <c r="F18" s="97"/>
      <c r="G18" s="104">
        <f t="shared" si="11"/>
        <v>0</v>
      </c>
      <c r="H18" s="97"/>
      <c r="I18" s="104">
        <f t="shared" si="0"/>
        <v>0</v>
      </c>
      <c r="J18" s="97"/>
      <c r="K18" s="104">
        <f t="shared" si="1"/>
        <v>0</v>
      </c>
      <c r="L18" s="97"/>
      <c r="M18" s="104">
        <f t="shared" si="2"/>
        <v>0</v>
      </c>
      <c r="N18" s="97"/>
      <c r="O18" s="104">
        <f t="shared" si="3"/>
        <v>0</v>
      </c>
      <c r="P18" s="97"/>
      <c r="Q18" s="104">
        <f t="shared" si="4"/>
        <v>0</v>
      </c>
      <c r="R18" s="97"/>
      <c r="S18" s="104">
        <f t="shared" si="5"/>
        <v>0</v>
      </c>
      <c r="T18" s="97"/>
      <c r="U18" s="104">
        <f t="shared" si="6"/>
        <v>0</v>
      </c>
      <c r="V18" s="97"/>
      <c r="W18" s="104">
        <f t="shared" si="7"/>
        <v>0</v>
      </c>
      <c r="X18" s="97"/>
      <c r="Y18" s="104">
        <f t="shared" si="8"/>
        <v>0</v>
      </c>
      <c r="Z18" s="97"/>
      <c r="AA18" s="104">
        <f t="shared" si="9"/>
        <v>0</v>
      </c>
      <c r="AB18" s="97"/>
      <c r="AC18" s="104">
        <f t="shared" si="10"/>
        <v>0</v>
      </c>
      <c r="AD18" s="95">
        <f t="shared" si="12"/>
        <v>0</v>
      </c>
      <c r="AE18" s="94" t="s">
        <v>30</v>
      </c>
    </row>
    <row r="19" spans="1:31" s="122" customFormat="1" ht="24.75" customHeight="1">
      <c r="A19" s="87" t="s">
        <v>6</v>
      </c>
      <c r="B19" s="84" t="s">
        <v>7</v>
      </c>
      <c r="C19" s="111">
        <v>0.5278</v>
      </c>
      <c r="D19" s="90" t="s">
        <v>14</v>
      </c>
      <c r="E19" s="91" t="s">
        <v>8</v>
      </c>
      <c r="F19" s="105">
        <f>'[2]ไฟฟ้า-สนม.'!$D$5</f>
        <v>15222.47</v>
      </c>
      <c r="G19" s="89">
        <f t="shared" si="11"/>
        <v>8034.419666000001</v>
      </c>
      <c r="H19" s="105">
        <f>'[2]ไฟฟ้า-สนม.'!$D$6</f>
        <v>21146.15</v>
      </c>
      <c r="I19" s="89">
        <f t="shared" si="0"/>
        <v>11160.93797</v>
      </c>
      <c r="J19" s="105">
        <f>'[2]ไฟฟ้า-สนม.'!$D$7</f>
        <v>28434.95</v>
      </c>
      <c r="K19" s="89">
        <f t="shared" si="1"/>
        <v>15007.966610000001</v>
      </c>
      <c r="L19" s="105">
        <f>'[2]ไฟฟ้า-สนม.'!$D$8</f>
        <v>28270.17</v>
      </c>
      <c r="M19" s="89">
        <f t="shared" si="2"/>
        <v>14920.995726000001</v>
      </c>
      <c r="N19" s="105">
        <f>'[2]ไฟฟ้า-สนม.'!$D$9</f>
        <v>35296.35</v>
      </c>
      <c r="O19" s="89">
        <f t="shared" si="3"/>
        <v>18629.41353</v>
      </c>
      <c r="P19" s="105">
        <f>'[2]ไฟฟ้า-สนม.'!$D$10</f>
        <v>35403.630000000005</v>
      </c>
      <c r="Q19" s="89">
        <f t="shared" si="4"/>
        <v>18686.035914000004</v>
      </c>
      <c r="R19" s="105">
        <f>'[2]ไฟฟ้า-สนม.'!$D$11</f>
        <v>29343.33</v>
      </c>
      <c r="S19" s="89">
        <f t="shared" si="5"/>
        <v>15487.409574000003</v>
      </c>
      <c r="T19" s="105">
        <f>'[2]ไฟฟ้า-สนม.'!$D$12</f>
        <v>29936.15</v>
      </c>
      <c r="U19" s="89">
        <f t="shared" si="6"/>
        <v>15800.299970000002</v>
      </c>
      <c r="V19" s="105">
        <f>'[2]ไฟฟ้า-สนม.'!$D$13</f>
        <v>27054.16</v>
      </c>
      <c r="W19" s="89">
        <f t="shared" si="7"/>
        <v>14279.185648</v>
      </c>
      <c r="X19" s="105">
        <f>'[2]ไฟฟ้า-สนม.'!$D$14</f>
        <v>27034.62</v>
      </c>
      <c r="Y19" s="89">
        <f t="shared" si="8"/>
        <v>14268.872436000001</v>
      </c>
      <c r="Z19" s="105">
        <f>'[2]ไฟฟ้า-สนม.'!$D$15</f>
        <v>19676.16</v>
      </c>
      <c r="AA19" s="89">
        <f t="shared" si="9"/>
        <v>10385.077248000001</v>
      </c>
      <c r="AB19" s="105">
        <f>'[2]ไฟฟ้า-สนม.'!$D$16</f>
        <v>17772.33</v>
      </c>
      <c r="AC19" s="89">
        <f t="shared" si="10"/>
        <v>9380.235774000002</v>
      </c>
      <c r="AD19" s="92">
        <f t="shared" si="12"/>
        <v>166040.850066</v>
      </c>
      <c r="AE19" s="90" t="s">
        <v>30</v>
      </c>
    </row>
    <row r="20" spans="1:31" s="122" customFormat="1" ht="24.75" customHeight="1">
      <c r="A20" s="87" t="s">
        <v>9</v>
      </c>
      <c r="B20" s="84" t="s">
        <v>39</v>
      </c>
      <c r="C20" s="111">
        <v>0.6662</v>
      </c>
      <c r="D20" s="90" t="s">
        <v>15</v>
      </c>
      <c r="E20" s="91" t="s">
        <v>10</v>
      </c>
      <c r="F20" s="105">
        <f>'[5]กระดาษ'!$D$5</f>
        <v>490.30000000000007</v>
      </c>
      <c r="G20" s="89">
        <f t="shared" si="11"/>
        <v>326.63786000000005</v>
      </c>
      <c r="H20" s="105">
        <f>'[5]กระดาษ'!$D$6</f>
        <v>311.3</v>
      </c>
      <c r="I20" s="89">
        <f t="shared" si="0"/>
        <v>207.38806000000002</v>
      </c>
      <c r="J20" s="105">
        <f>'[5]กระดาษ'!$D$7</f>
        <v>501.25000000000006</v>
      </c>
      <c r="K20" s="89">
        <f t="shared" si="1"/>
        <v>333.93275000000006</v>
      </c>
      <c r="L20" s="105">
        <f>'[5]กระดาษ'!$D$8</f>
        <v>384.5</v>
      </c>
      <c r="M20" s="89">
        <f t="shared" si="2"/>
        <v>256.1539</v>
      </c>
      <c r="N20" s="105">
        <f>'[5]กระดาษ'!$D$9</f>
        <v>440.5</v>
      </c>
      <c r="O20" s="89">
        <f t="shared" si="3"/>
        <v>293.4611</v>
      </c>
      <c r="P20" s="105">
        <f>'[5]กระดาษ'!$D$10</f>
        <v>305.1</v>
      </c>
      <c r="Q20" s="89">
        <f t="shared" si="4"/>
        <v>203.25762000000003</v>
      </c>
      <c r="R20" s="105">
        <f>'[5]กระดาษ'!$D$11</f>
        <v>695.8</v>
      </c>
      <c r="S20" s="89">
        <f t="shared" si="5"/>
        <v>463.54195999999996</v>
      </c>
      <c r="T20" s="105">
        <f>'[5]กระดาษ'!$D$12</f>
        <v>302.9</v>
      </c>
      <c r="U20" s="89">
        <f t="shared" si="6"/>
        <v>201.79198</v>
      </c>
      <c r="V20" s="105">
        <f>'[5]กระดาษ'!$D$13</f>
        <v>529.9300000000001</v>
      </c>
      <c r="W20" s="89">
        <f t="shared" si="7"/>
        <v>353.03936600000003</v>
      </c>
      <c r="X20" s="105">
        <f>'[5]กระดาษ'!$D$14</f>
        <v>574.4000000000001</v>
      </c>
      <c r="Y20" s="89">
        <f t="shared" si="8"/>
        <v>382.66528000000005</v>
      </c>
      <c r="Z20" s="105">
        <f>'[5]กระดาษ'!$D$15</f>
        <v>487.25</v>
      </c>
      <c r="AA20" s="89">
        <f t="shared" si="9"/>
        <v>324.60595</v>
      </c>
      <c r="AB20" s="105">
        <f>'[5]กระดาษ'!$D$16</f>
        <v>549.5</v>
      </c>
      <c r="AC20" s="89">
        <f t="shared" si="10"/>
        <v>366.0769</v>
      </c>
      <c r="AD20" s="92">
        <f>G20+I20+K20+M20+O20+Q20+S20+U20+W20+Y20+AA20+AC20</f>
        <v>3712.5527260000003</v>
      </c>
      <c r="AE20" s="90" t="s">
        <v>30</v>
      </c>
    </row>
    <row r="21" spans="1:31" s="96" customFormat="1" ht="24.75" customHeight="1">
      <c r="A21" s="93"/>
      <c r="B21" s="100" t="s">
        <v>88</v>
      </c>
      <c r="C21" s="78">
        <v>0.8006</v>
      </c>
      <c r="D21" s="109" t="s">
        <v>16</v>
      </c>
      <c r="E21" s="97" t="s">
        <v>11</v>
      </c>
      <c r="F21" s="97"/>
      <c r="G21" s="104">
        <f t="shared" si="11"/>
        <v>0</v>
      </c>
      <c r="H21" s="97"/>
      <c r="I21" s="104">
        <f t="shared" si="0"/>
        <v>0</v>
      </c>
      <c r="J21" s="97"/>
      <c r="K21" s="104">
        <f t="shared" si="1"/>
        <v>0</v>
      </c>
      <c r="L21" s="97"/>
      <c r="M21" s="104">
        <f t="shared" si="2"/>
        <v>0</v>
      </c>
      <c r="N21" s="97"/>
      <c r="O21" s="104">
        <f t="shared" si="3"/>
        <v>0</v>
      </c>
      <c r="P21" s="97"/>
      <c r="Q21" s="104">
        <f t="shared" si="4"/>
        <v>0</v>
      </c>
      <c r="R21" s="97"/>
      <c r="S21" s="104">
        <f t="shared" si="5"/>
        <v>0</v>
      </c>
      <c r="T21" s="97"/>
      <c r="U21" s="104">
        <f t="shared" si="6"/>
        <v>0</v>
      </c>
      <c r="V21" s="97"/>
      <c r="W21" s="104">
        <f t="shared" si="7"/>
        <v>0</v>
      </c>
      <c r="X21" s="97"/>
      <c r="Y21" s="104">
        <f t="shared" si="8"/>
        <v>0</v>
      </c>
      <c r="Z21" s="97"/>
      <c r="AA21" s="104">
        <f t="shared" si="9"/>
        <v>0</v>
      </c>
      <c r="AB21" s="97"/>
      <c r="AC21" s="104">
        <f t="shared" si="10"/>
        <v>0</v>
      </c>
      <c r="AD21" s="95">
        <f t="shared" si="12"/>
        <v>0</v>
      </c>
      <c r="AE21" s="94" t="s">
        <v>30</v>
      </c>
    </row>
    <row r="22" spans="1:44" s="122" customFormat="1" ht="24.75" customHeight="1">
      <c r="A22" s="88"/>
      <c r="B22" s="79" t="s">
        <v>89</v>
      </c>
      <c r="C22" s="113">
        <v>0.7043</v>
      </c>
      <c r="D22" s="90" t="s">
        <v>16</v>
      </c>
      <c r="E22" s="91" t="s">
        <v>11</v>
      </c>
      <c r="F22" s="105">
        <f>'[3]น้ำ-สนม.'!$D$5</f>
        <v>547</v>
      </c>
      <c r="G22" s="89">
        <f t="shared" si="11"/>
        <v>385.25210000000004</v>
      </c>
      <c r="H22" s="105">
        <f>'[3]น้ำ-สนม.'!$D$6</f>
        <v>583</v>
      </c>
      <c r="I22" s="89">
        <f t="shared" si="0"/>
        <v>410.6069</v>
      </c>
      <c r="J22" s="105">
        <f>'[3]น้ำ-สนม.'!$D$7</f>
        <v>692</v>
      </c>
      <c r="K22" s="89">
        <f t="shared" si="1"/>
        <v>487.3756</v>
      </c>
      <c r="L22" s="105">
        <f>'[3]น้ำ-สนม.'!$D$8</f>
        <v>503</v>
      </c>
      <c r="M22" s="89">
        <f t="shared" si="2"/>
        <v>354.2629</v>
      </c>
      <c r="N22" s="105">
        <f>'[3]น้ำ-สนม.'!$D$9</f>
        <v>492</v>
      </c>
      <c r="O22" s="89">
        <f t="shared" si="3"/>
        <v>346.5156</v>
      </c>
      <c r="P22" s="105">
        <f>'[3]น้ำ-สนม.'!$D$10</f>
        <v>465</v>
      </c>
      <c r="Q22" s="89">
        <f t="shared" si="4"/>
        <v>327.4995</v>
      </c>
      <c r="R22" s="105">
        <f>'[3]น้ำ-สนม.'!$D$11</f>
        <v>434</v>
      </c>
      <c r="S22" s="89">
        <f t="shared" si="5"/>
        <v>305.6662</v>
      </c>
      <c r="T22" s="105">
        <f>'[3]น้ำ-สนม.'!$D$12</f>
        <v>435</v>
      </c>
      <c r="U22" s="89">
        <f t="shared" si="6"/>
        <v>306.3705</v>
      </c>
      <c r="V22" s="105">
        <f>'[3]น้ำ-สนม.'!$D$13</f>
        <v>343</v>
      </c>
      <c r="W22" s="89">
        <f t="shared" si="7"/>
        <v>241.5749</v>
      </c>
      <c r="X22" s="105">
        <f>'[3]น้ำ-สนม.'!$D$14</f>
        <v>373</v>
      </c>
      <c r="Y22" s="89">
        <f t="shared" si="8"/>
        <v>262.70390000000003</v>
      </c>
      <c r="Z22" s="105">
        <f>'[3]น้ำ-สนม.'!$D$15</f>
        <v>412</v>
      </c>
      <c r="AA22" s="89">
        <f t="shared" si="9"/>
        <v>290.1716</v>
      </c>
      <c r="AB22" s="105">
        <f>'[3]น้ำ-สนม.'!$D$16</f>
        <v>331</v>
      </c>
      <c r="AC22" s="89">
        <f t="shared" si="10"/>
        <v>233.1233</v>
      </c>
      <c r="AD22" s="92">
        <f>G22+I22+K22+M22+O22+Q22+S22+U22+W22+Y22+AA22+AC22</f>
        <v>3951.1230000000005</v>
      </c>
      <c r="AE22" s="90" t="s">
        <v>30</v>
      </c>
      <c r="AR22" s="123"/>
    </row>
    <row r="23" spans="1:44" s="101" customFormat="1" ht="24.75" customHeight="1">
      <c r="A23" s="116"/>
      <c r="B23" s="117" t="s">
        <v>135</v>
      </c>
      <c r="C23" s="118">
        <v>2.32</v>
      </c>
      <c r="D23" s="115" t="s">
        <v>15</v>
      </c>
      <c r="E23" s="115" t="s">
        <v>10</v>
      </c>
      <c r="F23" s="120">
        <f>'[4]ปริมาณขยะรายเดือน '!$B$11</f>
        <v>277.29999999999995</v>
      </c>
      <c r="G23" s="121">
        <f t="shared" si="11"/>
        <v>643.3359999999999</v>
      </c>
      <c r="H23" s="120">
        <f>'[4]ปริมาณขยะรายเดือน '!$C$11</f>
        <v>198.60000000000002</v>
      </c>
      <c r="I23" s="121">
        <f t="shared" si="0"/>
        <v>460.752</v>
      </c>
      <c r="J23" s="120">
        <f>'[4]ปริมาณขยะรายเดือน '!$D$11</f>
        <v>189.89999999999998</v>
      </c>
      <c r="K23" s="121">
        <f t="shared" si="1"/>
        <v>440.5679999999999</v>
      </c>
      <c r="L23" s="120">
        <f>'[4]ปริมาณขยะรายเดือน '!$E$11</f>
        <v>239.8</v>
      </c>
      <c r="M23" s="121">
        <f t="shared" si="2"/>
        <v>556.336</v>
      </c>
      <c r="N23" s="120">
        <f>'[4]ปริมาณขยะรายเดือน '!$F$11</f>
        <v>238.20000000000002</v>
      </c>
      <c r="O23" s="121">
        <f t="shared" si="3"/>
        <v>552.624</v>
      </c>
      <c r="P23" s="120">
        <f>'[4]ปริมาณขยะรายเดือน '!$G$11</f>
        <v>411</v>
      </c>
      <c r="Q23" s="121">
        <f t="shared" si="4"/>
        <v>953.52</v>
      </c>
      <c r="R23" s="120">
        <f>'[4]ปริมาณขยะรายเดือน '!$H$11</f>
        <v>185.4</v>
      </c>
      <c r="S23" s="121">
        <f t="shared" si="5"/>
        <v>430.128</v>
      </c>
      <c r="T23" s="120">
        <f>'[4]ปริมาณขยะรายเดือน '!$I$11</f>
        <v>276.09999999999997</v>
      </c>
      <c r="U23" s="121">
        <f t="shared" si="6"/>
        <v>640.5519999999999</v>
      </c>
      <c r="V23" s="120">
        <f>'[4]ปริมาณขยะรายเดือน '!$J$11</f>
        <v>313.90000000000003</v>
      </c>
      <c r="W23" s="121">
        <f t="shared" si="7"/>
        <v>728.248</v>
      </c>
      <c r="X23" s="120">
        <f>'[4]ปริมาณขยะรายเดือน '!$K$11</f>
        <v>249.5</v>
      </c>
      <c r="Y23" s="121">
        <f t="shared" si="8"/>
        <v>578.8399999999999</v>
      </c>
      <c r="Z23" s="120">
        <f>'[4]ปริมาณขยะรายเดือน '!$L$11</f>
        <v>261.3</v>
      </c>
      <c r="AA23" s="121">
        <f t="shared" si="9"/>
        <v>606.216</v>
      </c>
      <c r="AB23" s="120">
        <f>'[4]ปริมาณขยะรายเดือน '!$M$11</f>
        <v>199.6</v>
      </c>
      <c r="AC23" s="121">
        <f t="shared" si="10"/>
        <v>463.07199999999995</v>
      </c>
      <c r="AD23" s="119">
        <f>G23+I23+K23+M23+O23+Q23+S23+U23+W23+Y23+AA23+AC23</f>
        <v>7054.192000000001</v>
      </c>
      <c r="AE23" s="115" t="s">
        <v>30</v>
      </c>
      <c r="AR23" s="102"/>
    </row>
    <row r="24" spans="1:44" s="101" customFormat="1" ht="24.75" customHeight="1">
      <c r="A24" s="124" t="s">
        <v>104</v>
      </c>
      <c r="B24" s="125"/>
      <c r="C24" s="126"/>
      <c r="D24" s="127"/>
      <c r="E24" s="125"/>
      <c r="F24" s="128"/>
      <c r="G24" s="129">
        <f>SUM(G6:G23)/1000</f>
        <v>12.8634655786</v>
      </c>
      <c r="H24" s="130"/>
      <c r="I24" s="129">
        <f>SUM(I6:I23)/1000</f>
        <v>15.020295941</v>
      </c>
      <c r="J24" s="130"/>
      <c r="K24" s="129">
        <f>SUM(K6:K23)/1000</f>
        <v>19.6525693798</v>
      </c>
      <c r="L24" s="130"/>
      <c r="M24" s="129">
        <f>SUM(M6:M23)/1000</f>
        <v>18.400997808600003</v>
      </c>
      <c r="N24" s="130"/>
      <c r="O24" s="131">
        <f>SUM(O6:O23)/1000</f>
        <v>22.4529195266</v>
      </c>
      <c r="P24" s="130"/>
      <c r="Q24" s="129">
        <f>SUM(Q6:Q23)/1000</f>
        <v>24.966525211000008</v>
      </c>
      <c r="R24" s="130"/>
      <c r="S24" s="129">
        <f>SUM(S6:S23)/1000</f>
        <v>18.975748343800003</v>
      </c>
      <c r="T24" s="130"/>
      <c r="U24" s="129">
        <f>SUM(U6:U23)/1000</f>
        <v>20.141150856400003</v>
      </c>
      <c r="V24" s="130"/>
      <c r="W24" s="129">
        <f>SUM(W6:W23)/1000</f>
        <v>19.4782281182</v>
      </c>
      <c r="X24" s="130"/>
      <c r="Y24" s="129">
        <f>SUM(Y6:Y23)/1000</f>
        <v>18.904540907600005</v>
      </c>
      <c r="Z24" s="130"/>
      <c r="AA24" s="132">
        <f>SUM(AA6:AA23)/1000</f>
        <v>14.3281178966</v>
      </c>
      <c r="AB24" s="133"/>
      <c r="AC24" s="132">
        <f>SUM(AC6:AC23)/1000</f>
        <v>13.903853335600001</v>
      </c>
      <c r="AD24" s="134"/>
      <c r="AE24" s="135"/>
      <c r="AG24" s="136"/>
      <c r="AR24" s="102"/>
    </row>
    <row r="25" spans="7:44" ht="24.75" customHeight="1">
      <c r="G25" s="59"/>
      <c r="AR25" s="46"/>
    </row>
    <row r="26" spans="2:44" ht="32.25" customHeight="1">
      <c r="B26" s="253" t="s">
        <v>103</v>
      </c>
      <c r="C26" s="254"/>
      <c r="D26" s="254"/>
      <c r="E26" s="255"/>
      <c r="K26" s="256"/>
      <c r="L26" s="256"/>
      <c r="M26" s="256"/>
      <c r="N26" s="256"/>
      <c r="O26" s="64"/>
      <c r="P26" s="256"/>
      <c r="Q26" s="256"/>
      <c r="R26" s="256"/>
      <c r="S26" s="256"/>
      <c r="AR26" s="46"/>
    </row>
    <row r="27" spans="2:44" ht="48" customHeight="1">
      <c r="B27" s="38" t="s">
        <v>83</v>
      </c>
      <c r="C27" s="38" t="s">
        <v>29</v>
      </c>
      <c r="D27" s="38" t="s">
        <v>76</v>
      </c>
      <c r="E27" s="38" t="s">
        <v>3</v>
      </c>
      <c r="K27" s="61"/>
      <c r="L27" s="71"/>
      <c r="M27" s="61"/>
      <c r="N27" s="71"/>
      <c r="O27" s="64"/>
      <c r="P27" s="71"/>
      <c r="Q27" s="61"/>
      <c r="R27" s="71"/>
      <c r="S27" s="61"/>
      <c r="AR27" s="46"/>
    </row>
    <row r="28" spans="2:44" ht="24.75" customHeight="1">
      <c r="B28" s="45" t="s">
        <v>4</v>
      </c>
      <c r="C28" s="48">
        <f>(SUM(AD8:AD18))/1000</f>
        <v>38.3296951118</v>
      </c>
      <c r="D28" s="49">
        <f>(C28*100)/$C$31</f>
        <v>17.49508091449376</v>
      </c>
      <c r="E28" s="45" t="s">
        <v>30</v>
      </c>
      <c r="K28" s="62"/>
      <c r="L28" s="72"/>
      <c r="M28" s="63"/>
      <c r="N28" s="73"/>
      <c r="O28" s="64"/>
      <c r="P28" s="73"/>
      <c r="Q28" s="65"/>
      <c r="R28" s="74"/>
      <c r="S28" s="62"/>
      <c r="AR28" s="47"/>
    </row>
    <row r="29" spans="2:49" ht="24.75" customHeight="1">
      <c r="B29" s="45" t="s">
        <v>6</v>
      </c>
      <c r="C29" s="48">
        <f>$AD$19/1000</f>
        <v>166.04085006600002</v>
      </c>
      <c r="D29" s="49">
        <f>(C29*100)/$C$31</f>
        <v>75.78714358522797</v>
      </c>
      <c r="E29" s="45" t="s">
        <v>30</v>
      </c>
      <c r="K29" s="62"/>
      <c r="L29" s="72"/>
      <c r="M29" s="63"/>
      <c r="N29" s="73"/>
      <c r="O29" s="64"/>
      <c r="P29" s="73"/>
      <c r="Q29" s="65"/>
      <c r="R29" s="74"/>
      <c r="S29" s="62"/>
      <c r="AW29" s="37"/>
    </row>
    <row r="30" spans="2:49" ht="24.75" customHeight="1">
      <c r="B30" s="45" t="s">
        <v>9</v>
      </c>
      <c r="C30" s="48">
        <f>SUM(AD20:AD23)/1000</f>
        <v>14.717867726000001</v>
      </c>
      <c r="D30" s="49">
        <f>(C30*100)/$C$31</f>
        <v>6.717775500278282</v>
      </c>
      <c r="E30" s="45" t="s">
        <v>30</v>
      </c>
      <c r="K30" s="62"/>
      <c r="L30" s="72"/>
      <c r="M30" s="63"/>
      <c r="N30" s="73"/>
      <c r="O30" s="64"/>
      <c r="P30" s="73"/>
      <c r="Q30" s="65"/>
      <c r="R30" s="74"/>
      <c r="S30" s="62"/>
      <c r="AW30" s="37"/>
    </row>
    <row r="31" spans="2:49" ht="24.75" customHeight="1">
      <c r="B31" s="45" t="s">
        <v>28</v>
      </c>
      <c r="C31" s="48">
        <f>SUM(C28:C30)</f>
        <v>219.08841290380002</v>
      </c>
      <c r="D31" s="49">
        <f>(C31*100)/$C$31</f>
        <v>100</v>
      </c>
      <c r="E31" s="45" t="s">
        <v>30</v>
      </c>
      <c r="K31" s="62"/>
      <c r="L31" s="72"/>
      <c r="M31" s="63"/>
      <c r="N31" s="73"/>
      <c r="O31" s="64"/>
      <c r="P31" s="73"/>
      <c r="Q31" s="65"/>
      <c r="R31" s="74"/>
      <c r="S31" s="62"/>
      <c r="AW31" s="37"/>
    </row>
    <row r="32" spans="10:49" ht="21.75" customHeight="1">
      <c r="J32" s="66"/>
      <c r="AW32" s="37"/>
    </row>
    <row r="33" spans="10:49" ht="24.75" customHeight="1">
      <c r="J33" s="66"/>
      <c r="AW33" s="37"/>
    </row>
    <row r="34" spans="10:49" ht="24.75" customHeight="1">
      <c r="J34" s="66"/>
      <c r="AW34" s="37"/>
    </row>
    <row r="35" spans="10:49" ht="24.75" customHeight="1">
      <c r="J35" s="66"/>
      <c r="AW35" s="37"/>
    </row>
    <row r="36" spans="1:49" ht="24.75" customHeight="1">
      <c r="A36" s="51"/>
      <c r="B36" s="47"/>
      <c r="J36" s="66"/>
      <c r="AW36" s="37"/>
    </row>
    <row r="37" spans="1:49" ht="24.75" customHeight="1">
      <c r="A37" s="52"/>
      <c r="B37" s="50"/>
      <c r="J37" s="66"/>
      <c r="AW37" s="37"/>
    </row>
    <row r="38" spans="1:49" ht="24.75" customHeight="1">
      <c r="A38" s="52"/>
      <c r="B38" s="50"/>
      <c r="J38" s="66"/>
      <c r="AW38" s="37"/>
    </row>
    <row r="39" spans="1:49" ht="24.75" customHeight="1">
      <c r="A39" s="51"/>
      <c r="B39" s="47"/>
      <c r="J39" s="66"/>
      <c r="AW39" s="37"/>
    </row>
    <row r="40" spans="1:49" ht="24.75" customHeight="1">
      <c r="A40" s="51"/>
      <c r="B40" s="47"/>
      <c r="J40" s="66"/>
      <c r="AW40" s="37"/>
    </row>
    <row r="41" spans="10:49" ht="24.75" customHeight="1">
      <c r="J41" s="66"/>
      <c r="AW41" s="37"/>
    </row>
    <row r="42" ht="24.75" customHeight="1">
      <c r="J42" s="66"/>
    </row>
    <row r="43" ht="24.75" customHeight="1">
      <c r="J43" s="66"/>
    </row>
    <row r="44" ht="24.75" customHeight="1">
      <c r="J44" s="66"/>
    </row>
  </sheetData>
  <sheetProtection/>
  <mergeCells count="23">
    <mergeCell ref="R4:S4"/>
    <mergeCell ref="E3:E5"/>
    <mergeCell ref="D3:D5"/>
    <mergeCell ref="T4:U4"/>
    <mergeCell ref="C3:C5"/>
    <mergeCell ref="H4:I4"/>
    <mergeCell ref="A2:AE2"/>
    <mergeCell ref="L4:M4"/>
    <mergeCell ref="N4:O4"/>
    <mergeCell ref="P4:Q4"/>
    <mergeCell ref="A3:A5"/>
    <mergeCell ref="F4:G4"/>
    <mergeCell ref="J4:K4"/>
    <mergeCell ref="AE3:AE5"/>
    <mergeCell ref="AD4:AD5"/>
    <mergeCell ref="AB4:AC4"/>
    <mergeCell ref="B26:E26"/>
    <mergeCell ref="K26:N26"/>
    <mergeCell ref="P26:S26"/>
    <mergeCell ref="X4:Y4"/>
    <mergeCell ref="Z4:AA4"/>
    <mergeCell ref="V4:W4"/>
    <mergeCell ref="B3:B5"/>
  </mergeCells>
  <printOptions/>
  <pageMargins left="0.7086614173228347" right="0.31496062992125984" top="0.5511811023622047" bottom="0.15748031496062992" header="0.31496062992125984" footer="0.31496062992125984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="70" zoomScaleNormal="70" zoomScalePageLayoutView="0" workbookViewId="0" topLeftCell="A1">
      <selection activeCell="S10" sqref="S10"/>
    </sheetView>
  </sheetViews>
  <sheetFormatPr defaultColWidth="25.57421875" defaultRowHeight="15"/>
  <cols>
    <col min="1" max="1" width="41.00390625" style="6" customWidth="1"/>
    <col min="2" max="2" width="21.57421875" style="6" customWidth="1"/>
    <col min="3" max="15" width="10.57421875" style="6" customWidth="1"/>
    <col min="16" max="16" width="3.140625" style="6" customWidth="1"/>
    <col min="17" max="17" width="13.00390625" style="6" customWidth="1"/>
    <col min="18" max="16384" width="25.421875" style="6" customWidth="1"/>
  </cols>
  <sheetData>
    <row r="1" spans="1:17" ht="28.5">
      <c r="A1" s="5" t="s">
        <v>42</v>
      </c>
      <c r="B1" s="3" t="s">
        <v>43</v>
      </c>
      <c r="C1" s="3" t="s">
        <v>44</v>
      </c>
      <c r="D1" s="3" t="s">
        <v>45</v>
      </c>
      <c r="E1" s="3" t="s">
        <v>46</v>
      </c>
      <c r="F1" s="3" t="s">
        <v>47</v>
      </c>
      <c r="G1" s="3" t="s">
        <v>48</v>
      </c>
      <c r="H1" s="3" t="s">
        <v>49</v>
      </c>
      <c r="I1" s="3" t="s">
        <v>50</v>
      </c>
      <c r="J1" s="3" t="s">
        <v>51</v>
      </c>
      <c r="K1" s="3" t="s">
        <v>52</v>
      </c>
      <c r="L1" s="3" t="s">
        <v>53</v>
      </c>
      <c r="M1" s="3" t="s">
        <v>54</v>
      </c>
      <c r="N1" s="3" t="s">
        <v>55</v>
      </c>
      <c r="O1" s="2" t="s">
        <v>56</v>
      </c>
      <c r="Q1" s="23" t="s">
        <v>92</v>
      </c>
    </row>
    <row r="2" spans="2:18" ht="28.5">
      <c r="B2" s="4" t="s">
        <v>79</v>
      </c>
      <c r="C2" s="20">
        <v>21</v>
      </c>
      <c r="D2" s="20">
        <v>20</v>
      </c>
      <c r="E2" s="20">
        <v>21</v>
      </c>
      <c r="F2" s="20">
        <v>17</v>
      </c>
      <c r="G2" s="20">
        <v>21</v>
      </c>
      <c r="H2" s="20">
        <v>21</v>
      </c>
      <c r="I2" s="20">
        <v>20</v>
      </c>
      <c r="J2" s="20">
        <v>22</v>
      </c>
      <c r="K2" s="20">
        <v>20</v>
      </c>
      <c r="L2" s="20">
        <v>21</v>
      </c>
      <c r="M2" s="20">
        <v>22</v>
      </c>
      <c r="N2" s="20">
        <v>18</v>
      </c>
      <c r="O2" s="1">
        <f>SUM(C2:N2)</f>
        <v>244</v>
      </c>
      <c r="Q2" s="22">
        <f>D23*E23*F23*H23*I23</f>
        <v>0.012</v>
      </c>
      <c r="R2" s="6" t="s">
        <v>94</v>
      </c>
    </row>
    <row r="3" spans="2:16" ht="24">
      <c r="B3" s="4" t="s">
        <v>78</v>
      </c>
      <c r="C3" s="20">
        <v>200</v>
      </c>
      <c r="D3" s="20">
        <v>200</v>
      </c>
      <c r="E3" s="20">
        <v>200</v>
      </c>
      <c r="F3" s="20">
        <v>200</v>
      </c>
      <c r="G3" s="20">
        <v>200</v>
      </c>
      <c r="H3" s="20">
        <v>200</v>
      </c>
      <c r="I3" s="20">
        <v>200</v>
      </c>
      <c r="J3" s="20">
        <v>200</v>
      </c>
      <c r="K3" s="20">
        <v>200</v>
      </c>
      <c r="L3" s="20">
        <v>200</v>
      </c>
      <c r="M3" s="20">
        <v>200</v>
      </c>
      <c r="N3" s="20">
        <v>200</v>
      </c>
      <c r="O3" s="1">
        <f>SUM(C3:N3)</f>
        <v>2400</v>
      </c>
      <c r="P3" s="7"/>
    </row>
    <row r="4" spans="2:15" ht="24">
      <c r="B4" s="33" t="s">
        <v>64</v>
      </c>
      <c r="C4" s="21">
        <f aca="true" t="shared" si="0" ref="C4:N4">C2*C3*$Q$2</f>
        <v>50.4</v>
      </c>
      <c r="D4" s="21">
        <f t="shared" si="0"/>
        <v>48</v>
      </c>
      <c r="E4" s="21">
        <f t="shared" si="0"/>
        <v>50.4</v>
      </c>
      <c r="F4" s="21">
        <f t="shared" si="0"/>
        <v>40.800000000000004</v>
      </c>
      <c r="G4" s="21">
        <f t="shared" si="0"/>
        <v>50.4</v>
      </c>
      <c r="H4" s="21">
        <f t="shared" si="0"/>
        <v>50.4</v>
      </c>
      <c r="I4" s="21">
        <f t="shared" si="0"/>
        <v>48</v>
      </c>
      <c r="J4" s="21">
        <f t="shared" si="0"/>
        <v>52.800000000000004</v>
      </c>
      <c r="K4" s="21">
        <f t="shared" si="0"/>
        <v>48</v>
      </c>
      <c r="L4" s="21">
        <f t="shared" si="0"/>
        <v>50.4</v>
      </c>
      <c r="M4" s="21">
        <f t="shared" si="0"/>
        <v>52.800000000000004</v>
      </c>
      <c r="N4" s="21">
        <f t="shared" si="0"/>
        <v>43.2</v>
      </c>
      <c r="O4" s="1">
        <f>SUM(C4:N4)</f>
        <v>585.6</v>
      </c>
    </row>
    <row r="5" spans="2:15" ht="24">
      <c r="B5" s="8" t="s">
        <v>80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ht="24"/>
    <row r="7" ht="24"/>
    <row r="8" ht="24"/>
    <row r="9" ht="24">
      <c r="A9" s="9" t="s">
        <v>66</v>
      </c>
    </row>
    <row r="10" ht="168">
      <c r="A10" s="10" t="s">
        <v>62</v>
      </c>
    </row>
    <row r="11" ht="24"/>
    <row r="12" ht="144">
      <c r="A12" s="10" t="s">
        <v>63</v>
      </c>
    </row>
    <row r="13" ht="24"/>
    <row r="14" ht="54.75" customHeight="1">
      <c r="A14" s="10" t="s">
        <v>93</v>
      </c>
    </row>
    <row r="15" ht="24"/>
    <row r="16" ht="24"/>
    <row r="17" ht="24"/>
    <row r="18" ht="24"/>
    <row r="19" ht="24"/>
    <row r="20" ht="24"/>
    <row r="22" spans="2:10" ht="73.5">
      <c r="B22" s="11"/>
      <c r="C22" s="11"/>
      <c r="D22" s="12" t="s">
        <v>59</v>
      </c>
      <c r="E22" s="12" t="s">
        <v>60</v>
      </c>
      <c r="F22" s="12" t="s">
        <v>61</v>
      </c>
      <c r="G22" s="13" t="s">
        <v>65</v>
      </c>
      <c r="H22" s="13" t="s">
        <v>91</v>
      </c>
      <c r="I22" s="14">
        <v>0.001</v>
      </c>
      <c r="J22" s="13" t="s">
        <v>90</v>
      </c>
    </row>
    <row r="23" spans="1:10" ht="24">
      <c r="A23" s="34" t="s">
        <v>64</v>
      </c>
      <c r="B23" s="15" t="s">
        <v>10</v>
      </c>
      <c r="C23" s="16">
        <f>D23*E23*F23*H23*I23*J23</f>
        <v>2.928</v>
      </c>
      <c r="D23" s="17">
        <v>1</v>
      </c>
      <c r="E23" s="17">
        <v>1</v>
      </c>
      <c r="F23" s="17">
        <v>0.3</v>
      </c>
      <c r="G23" s="18">
        <f>O3</f>
        <v>2400</v>
      </c>
      <c r="H23" s="17">
        <v>40</v>
      </c>
      <c r="I23" s="17">
        <f>I22</f>
        <v>0.001</v>
      </c>
      <c r="J23" s="17">
        <f>O2</f>
        <v>244</v>
      </c>
    </row>
    <row r="27" ht="28.5" customHeight="1"/>
    <row r="29" ht="43.5" customHeight="1">
      <c r="D29" s="19">
        <f>D23*E23*F23*G23*H23*J23</f>
        <v>7027200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Q7" sqref="Q7"/>
    </sheetView>
  </sheetViews>
  <sheetFormatPr defaultColWidth="9.00390625" defaultRowHeight="15"/>
  <cols>
    <col min="1" max="1" width="25.00390625" style="6" customWidth="1"/>
    <col min="2" max="2" width="10.00390625" style="6" customWidth="1"/>
    <col min="3" max="3" width="7.7109375" style="6" customWidth="1"/>
    <col min="4" max="14" width="6.57421875" style="6" customWidth="1"/>
    <col min="15" max="16384" width="9.00390625" style="6" customWidth="1"/>
  </cols>
  <sheetData>
    <row r="1" spans="1:2" ht="24">
      <c r="A1" s="258" t="s">
        <v>95</v>
      </c>
      <c r="B1" s="259"/>
    </row>
    <row r="2" spans="1:15" ht="24">
      <c r="A2" s="259"/>
      <c r="B2" s="259"/>
      <c r="C2" s="17" t="s">
        <v>18</v>
      </c>
      <c r="D2" s="17" t="s">
        <v>19</v>
      </c>
      <c r="E2" s="17" t="s">
        <v>20</v>
      </c>
      <c r="F2" s="17" t="s">
        <v>21</v>
      </c>
      <c r="G2" s="17" t="s">
        <v>81</v>
      </c>
      <c r="H2" s="17" t="s">
        <v>82</v>
      </c>
      <c r="I2" s="17" t="s">
        <v>23</v>
      </c>
      <c r="J2" s="17" t="s">
        <v>24</v>
      </c>
      <c r="K2" s="17" t="s">
        <v>25</v>
      </c>
      <c r="L2" s="17" t="s">
        <v>26</v>
      </c>
      <c r="M2" s="17" t="s">
        <v>22</v>
      </c>
      <c r="N2" s="17" t="s">
        <v>27</v>
      </c>
      <c r="O2" s="17" t="s">
        <v>28</v>
      </c>
    </row>
    <row r="3" spans="1:15" ht="24">
      <c r="A3" s="6" t="s">
        <v>86</v>
      </c>
      <c r="C3" s="114">
        <f>สรุปการคำนวณ!F22</f>
        <v>547</v>
      </c>
      <c r="D3" s="114">
        <f>สรุปการคำนวณ!H22</f>
        <v>583</v>
      </c>
      <c r="E3" s="114">
        <f>สรุปการคำนวณ!J22</f>
        <v>692</v>
      </c>
      <c r="F3" s="114">
        <f>สรุปการคำนวณ!L22</f>
        <v>503</v>
      </c>
      <c r="G3" s="114">
        <f>สรุปการคำนวณ!N22</f>
        <v>492</v>
      </c>
      <c r="H3" s="114">
        <f>สรุปการคำนวณ!P22</f>
        <v>465</v>
      </c>
      <c r="I3" s="114">
        <f>สรุปการคำนวณ!R22</f>
        <v>434</v>
      </c>
      <c r="J3" s="114">
        <f>สรุปการคำนวณ!T22</f>
        <v>435</v>
      </c>
      <c r="K3" s="114">
        <f>สรุปการคำนวณ!V22</f>
        <v>343</v>
      </c>
      <c r="L3" s="114">
        <f>สรุปการคำนวณ!X22</f>
        <v>373</v>
      </c>
      <c r="M3" s="114">
        <f>สรุปการคำนวณ!Z22</f>
        <v>412</v>
      </c>
      <c r="N3" s="114">
        <f>สรุปการคำนวณ!AB22</f>
        <v>331</v>
      </c>
      <c r="O3" s="234">
        <f>SUM(C3:N3)</f>
        <v>5610</v>
      </c>
    </row>
    <row r="4" spans="1:15" ht="24">
      <c r="A4" s="6" t="s">
        <v>87</v>
      </c>
      <c r="C4" s="29">
        <f>C3*0.8</f>
        <v>437.6</v>
      </c>
      <c r="D4" s="29">
        <f aca="true" t="shared" si="0" ref="D4:O4">D3*0.8</f>
        <v>466.40000000000003</v>
      </c>
      <c r="E4" s="29">
        <f t="shared" si="0"/>
        <v>553.6</v>
      </c>
      <c r="F4" s="29">
        <f t="shared" si="0"/>
        <v>402.40000000000003</v>
      </c>
      <c r="G4" s="29">
        <f t="shared" si="0"/>
        <v>393.6</v>
      </c>
      <c r="H4" s="29">
        <f t="shared" si="0"/>
        <v>372</v>
      </c>
      <c r="I4" s="29">
        <f t="shared" si="0"/>
        <v>347.20000000000005</v>
      </c>
      <c r="J4" s="29">
        <f t="shared" si="0"/>
        <v>348</v>
      </c>
      <c r="K4" s="29">
        <f t="shared" si="0"/>
        <v>274.40000000000003</v>
      </c>
      <c r="L4" s="29">
        <f t="shared" si="0"/>
        <v>298.40000000000003</v>
      </c>
      <c r="M4" s="29">
        <f t="shared" si="0"/>
        <v>329.6</v>
      </c>
      <c r="N4" s="29">
        <f t="shared" si="0"/>
        <v>264.8</v>
      </c>
      <c r="O4" s="29">
        <f t="shared" si="0"/>
        <v>4488</v>
      </c>
    </row>
    <row r="5" ht="24">
      <c r="A5" s="6" t="s">
        <v>67</v>
      </c>
    </row>
    <row r="7" spans="1:12" ht="24">
      <c r="A7" s="30" t="s">
        <v>96</v>
      </c>
      <c r="L7" s="25"/>
    </row>
    <row r="8" ht="24">
      <c r="A8" s="26" t="s">
        <v>84</v>
      </c>
    </row>
    <row r="9" ht="24">
      <c r="A9" s="26" t="s">
        <v>97</v>
      </c>
    </row>
    <row r="10" ht="24">
      <c r="A10" s="26" t="s">
        <v>85</v>
      </c>
    </row>
    <row r="11" spans="1:14" ht="24">
      <c r="A11" s="24" t="s">
        <v>98</v>
      </c>
      <c r="B11" s="27" t="s">
        <v>18</v>
      </c>
      <c r="C11" s="17" t="s">
        <v>19</v>
      </c>
      <c r="D11" s="17" t="s">
        <v>20</v>
      </c>
      <c r="E11" s="17" t="s">
        <v>21</v>
      </c>
      <c r="F11" s="17" t="s">
        <v>81</v>
      </c>
      <c r="G11" s="17" t="s">
        <v>82</v>
      </c>
      <c r="H11" s="17" t="s">
        <v>23</v>
      </c>
      <c r="I11" s="17" t="s">
        <v>24</v>
      </c>
      <c r="J11" s="17" t="s">
        <v>25</v>
      </c>
      <c r="K11" s="17" t="s">
        <v>26</v>
      </c>
      <c r="L11" s="17" t="s">
        <v>22</v>
      </c>
      <c r="M11" s="17" t="s">
        <v>27</v>
      </c>
      <c r="N11" s="17" t="s">
        <v>28</v>
      </c>
    </row>
    <row r="12" spans="1:14" ht="24">
      <c r="A12" s="6" t="s">
        <v>68</v>
      </c>
      <c r="B12" s="29">
        <f aca="true" t="shared" si="1" ref="B12:N12">C4</f>
        <v>437.6</v>
      </c>
      <c r="C12" s="29">
        <f t="shared" si="1"/>
        <v>466.40000000000003</v>
      </c>
      <c r="D12" s="29">
        <f t="shared" si="1"/>
        <v>553.6</v>
      </c>
      <c r="E12" s="29">
        <f t="shared" si="1"/>
        <v>402.40000000000003</v>
      </c>
      <c r="F12" s="29">
        <f t="shared" si="1"/>
        <v>393.6</v>
      </c>
      <c r="G12" s="29">
        <f t="shared" si="1"/>
        <v>372</v>
      </c>
      <c r="H12" s="29">
        <f t="shared" si="1"/>
        <v>347.20000000000005</v>
      </c>
      <c r="I12" s="29">
        <f t="shared" si="1"/>
        <v>348</v>
      </c>
      <c r="J12" s="29">
        <f t="shared" si="1"/>
        <v>274.40000000000003</v>
      </c>
      <c r="K12" s="29">
        <f t="shared" si="1"/>
        <v>298.40000000000003</v>
      </c>
      <c r="L12" s="29">
        <f t="shared" si="1"/>
        <v>329.6</v>
      </c>
      <c r="M12" s="29">
        <f t="shared" si="1"/>
        <v>264.8</v>
      </c>
      <c r="N12" s="29">
        <f t="shared" si="1"/>
        <v>4488</v>
      </c>
    </row>
    <row r="13" spans="1:14" ht="24">
      <c r="A13" s="32" t="s">
        <v>69</v>
      </c>
      <c r="B13" s="28">
        <f>0.2*B12*0.12</f>
        <v>10.502400000000002</v>
      </c>
      <c r="C13" s="28">
        <f aca="true" t="shared" si="2" ref="C13:N13">0.2*C12*0.12</f>
        <v>11.193600000000002</v>
      </c>
      <c r="D13" s="28">
        <f t="shared" si="2"/>
        <v>13.2864</v>
      </c>
      <c r="E13" s="28">
        <f t="shared" si="2"/>
        <v>9.657600000000002</v>
      </c>
      <c r="F13" s="28">
        <f t="shared" si="2"/>
        <v>9.4464</v>
      </c>
      <c r="G13" s="28">
        <f t="shared" si="2"/>
        <v>8.928</v>
      </c>
      <c r="H13" s="28">
        <f t="shared" si="2"/>
        <v>8.3328</v>
      </c>
      <c r="I13" s="28">
        <f t="shared" si="2"/>
        <v>8.352</v>
      </c>
      <c r="J13" s="28">
        <f t="shared" si="2"/>
        <v>6.585600000000001</v>
      </c>
      <c r="K13" s="28">
        <f t="shared" si="2"/>
        <v>7.161600000000001</v>
      </c>
      <c r="L13" s="28">
        <f t="shared" si="2"/>
        <v>7.9104</v>
      </c>
      <c r="M13" s="28">
        <f t="shared" si="2"/>
        <v>6.355200000000001</v>
      </c>
      <c r="N13" s="28">
        <f t="shared" si="2"/>
        <v>107.712</v>
      </c>
    </row>
    <row r="14" ht="24">
      <c r="B14" s="31"/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8.8515625" style="145" customWidth="1"/>
    <col min="2" max="2" width="11.57421875" style="145" customWidth="1"/>
    <col min="3" max="3" width="8.8515625" style="148" customWidth="1"/>
    <col min="4" max="4" width="11.140625" style="148" customWidth="1"/>
    <col min="5" max="5" width="8.8515625" style="148" customWidth="1"/>
    <col min="6" max="6" width="13.421875" style="148" customWidth="1"/>
    <col min="7" max="7" width="16.8515625" style="148" customWidth="1"/>
    <col min="8" max="8" width="10.8515625" style="144" customWidth="1"/>
    <col min="9" max="9" width="13.140625" style="149" customWidth="1"/>
    <col min="10" max="10" width="11.8515625" style="150" customWidth="1"/>
    <col min="11" max="11" width="11.421875" style="151" customWidth="1"/>
    <col min="12" max="12" width="12.57421875" style="144" customWidth="1"/>
    <col min="13" max="16384" width="8.8515625" style="145" customWidth="1"/>
  </cols>
  <sheetData>
    <row r="2" spans="2:11" ht="26.25">
      <c r="B2" s="137" t="s">
        <v>121</v>
      </c>
      <c r="C2" s="138"/>
      <c r="D2" s="139"/>
      <c r="E2" s="139"/>
      <c r="F2" s="139"/>
      <c r="G2" s="139"/>
      <c r="H2" s="140"/>
      <c r="I2" s="141"/>
      <c r="J2" s="142"/>
      <c r="K2" s="143"/>
    </row>
    <row r="3" spans="2:3" ht="26.25">
      <c r="B3" s="146"/>
      <c r="C3" s="147"/>
    </row>
    <row r="4" spans="2:12" s="156" customFormat="1" ht="105" customHeight="1">
      <c r="B4" s="152" t="s">
        <v>105</v>
      </c>
      <c r="C4" s="153" t="str">
        <f>'[6]สรุปการคำนวณ'!B12</f>
        <v>น้ำมัน Diesel </v>
      </c>
      <c r="D4" s="153" t="str">
        <f>'[6]สรุปการคำนวณ'!B13</f>
        <v>น้ำมัน Gasohol 91, E20, E85</v>
      </c>
      <c r="E4" s="153" t="str">
        <f>'[6]สรุปการคำนวณ'!B14</f>
        <v>น้ำมัน Gasohol 95</v>
      </c>
      <c r="F4" s="153" t="s">
        <v>136</v>
      </c>
      <c r="G4" s="153" t="s">
        <v>137</v>
      </c>
      <c r="H4" s="239" t="str">
        <f>'[6]สรุปการคำนวณ'!B19</f>
        <v>การใช้พลังงานไฟฟ้า</v>
      </c>
      <c r="I4" s="240" t="str">
        <f>'[6]สรุปการคำนวณ'!B20</f>
        <v>การใช้กระดาษ A4 และ A3 (สีขาว)</v>
      </c>
      <c r="J4" s="241" t="str">
        <f>'[6]สรุปการคำนวณ'!B22</f>
        <v>น้ำประปา-การประปาส่วนภูมิภาค</v>
      </c>
      <c r="K4" s="154" t="str">
        <f>'[6]สรุปการคำนวณ'!B23</f>
        <v>ขยะของเสีย (ฝังกลบ)</v>
      </c>
      <c r="L4" s="155" t="s">
        <v>106</v>
      </c>
    </row>
    <row r="5" spans="2:12" ht="25.5">
      <c r="B5" s="157" t="s">
        <v>107</v>
      </c>
      <c r="C5" s="158">
        <f>สรุปการคำนวณ!G12/1000</f>
        <v>1.8596448990000003</v>
      </c>
      <c r="D5" s="158">
        <f>สรุปการคำนวณ!G13/1000</f>
        <v>0.0572273856</v>
      </c>
      <c r="E5" s="158">
        <f>สรุปการคำนวณ!G14/1000</f>
        <v>0.034387667999999996</v>
      </c>
      <c r="F5" s="158">
        <f>สรุปการคำนวณ!G16/1000</f>
        <v>1.26</v>
      </c>
      <c r="G5" s="158">
        <f>สรุปการคำนวณ!G17/1000</f>
        <v>0.26256000000000007</v>
      </c>
      <c r="H5" s="159">
        <f>สรุปการคำนวณ!G19/1000</f>
        <v>8.034419666000002</v>
      </c>
      <c r="I5" s="160">
        <f>สรุปการคำนวณ!G20/1000</f>
        <v>0.32663786000000006</v>
      </c>
      <c r="J5" s="161">
        <f>สรุปการคำนวณ!G22/1000</f>
        <v>0.38525210000000004</v>
      </c>
      <c r="K5" s="162">
        <f>สรุปการคำนวณ!G23/1000</f>
        <v>0.6433359999999999</v>
      </c>
      <c r="L5" s="159">
        <f aca="true" t="shared" si="0" ref="L5:L16">SUM(C5:K5)</f>
        <v>12.863465578600001</v>
      </c>
    </row>
    <row r="6" spans="2:12" ht="25.5">
      <c r="B6" s="157" t="s">
        <v>108</v>
      </c>
      <c r="C6" s="158">
        <f>สรุปการคำนวณ!I12/1000</f>
        <v>1.1573346942</v>
      </c>
      <c r="D6" s="158">
        <f>สรุปการคำนวณ!I13/1000</f>
        <v>0.0886919376</v>
      </c>
      <c r="E6" s="158">
        <f>สรุปการคำนวณ!I14/1000</f>
        <v>0.0547443792</v>
      </c>
      <c r="F6" s="158">
        <f>สรุปการคำนวณ!I16/1000</f>
        <v>1.2</v>
      </c>
      <c r="G6" s="158">
        <f>สรุปการคำนวณ!I17/1000</f>
        <v>0.27984000000000003</v>
      </c>
      <c r="H6" s="159">
        <f>สรุปการคำนวณ!I19/1000</f>
        <v>11.16093797</v>
      </c>
      <c r="I6" s="160">
        <f>สรุปการคำนวณ!I20/1000</f>
        <v>0.20738806</v>
      </c>
      <c r="J6" s="161">
        <f>สรุปการคำนวณ!I22/1000</f>
        <v>0.4106069</v>
      </c>
      <c r="K6" s="162">
        <f>สรุปการคำนวณ!I23/1000</f>
        <v>0.460752</v>
      </c>
      <c r="L6" s="159">
        <f t="shared" si="0"/>
        <v>15.020295940999999</v>
      </c>
    </row>
    <row r="7" spans="2:12" ht="25.5">
      <c r="B7" s="157" t="s">
        <v>109</v>
      </c>
      <c r="C7" s="158">
        <f>สรุปการคำนวณ!K12/1000</f>
        <v>1.7145872998</v>
      </c>
      <c r="D7" s="158">
        <f>สรุปการคำนวณ!K13/1000</f>
        <v>0.0486813768</v>
      </c>
      <c r="E7" s="158">
        <f>สรุปการคำนวณ!K14/1000</f>
        <v>0.0272977432</v>
      </c>
      <c r="F7" s="158">
        <f>สรุปการคำนวณ!K16/1000</f>
        <v>1.26</v>
      </c>
      <c r="G7" s="158">
        <f>สรุปการคำนวณ!K17/1000</f>
        <v>0.33216</v>
      </c>
      <c r="H7" s="159">
        <f>สรุปการคำนวณ!K19/1000</f>
        <v>15.00796661</v>
      </c>
      <c r="I7" s="160">
        <f>สรุปการคำนวณ!K20/1000</f>
        <v>0.33393275000000006</v>
      </c>
      <c r="J7" s="161">
        <f>สรุปการคำนวณ!K22/1000</f>
        <v>0.4873756</v>
      </c>
      <c r="K7" s="162">
        <f>สรุปการคำนวณ!K23/1000</f>
        <v>0.4405679999999999</v>
      </c>
      <c r="L7" s="159">
        <f t="shared" si="0"/>
        <v>19.6525693798</v>
      </c>
    </row>
    <row r="8" spans="2:12" ht="25.5">
      <c r="B8" s="157" t="s">
        <v>110</v>
      </c>
      <c r="C8" s="158">
        <f>สรุปการคำนวณ!M12/1000</f>
        <v>0.973550789</v>
      </c>
      <c r="D8" s="158">
        <f>สรุปการคำนวณ!M13/1000</f>
        <v>0.0441489048</v>
      </c>
      <c r="E8" s="158">
        <f>สรุปการคำนวณ!M14/1000</f>
        <v>0.0341095888</v>
      </c>
      <c r="F8" s="158">
        <f>สรุปการคำนวณ!M16/1000</f>
        <v>1.02</v>
      </c>
      <c r="G8" s="158">
        <f>สรุปการคำนวณ!M17/1000</f>
        <v>0.24144000000000004</v>
      </c>
      <c r="H8" s="159">
        <f>สรุปการคำนวณ!M19/1000</f>
        <v>14.920995726000001</v>
      </c>
      <c r="I8" s="160">
        <f>สรุปการคำนวณ!M20/1000</f>
        <v>0.25615390000000005</v>
      </c>
      <c r="J8" s="161">
        <f>สรุปการคำนวณ!M22/1000</f>
        <v>0.3542629</v>
      </c>
      <c r="K8" s="162">
        <f>สรุปการคำนวณ!M23/1000</f>
        <v>0.556336</v>
      </c>
      <c r="L8" s="159">
        <f t="shared" si="0"/>
        <v>18.400997808600003</v>
      </c>
    </row>
    <row r="9" spans="2:12" ht="25.5">
      <c r="B9" s="157" t="s">
        <v>111</v>
      </c>
      <c r="C9" s="158">
        <f>สรุปการคำนวณ!O12/1000</f>
        <v>1.001024235</v>
      </c>
      <c r="D9" s="158">
        <f>สรุปการคำนวณ!O13/1000</f>
        <v>0.0752149496</v>
      </c>
      <c r="E9" s="158">
        <f>สรุปการคำนวณ!O14/1000</f>
        <v>0.05850611199999999</v>
      </c>
      <c r="F9" s="158">
        <f>สรุปการคำนวณ!O16/1000</f>
        <v>1.26</v>
      </c>
      <c r="G9" s="158">
        <f>สรุปการคำนวณ!O17/1000</f>
        <v>0.23616000000000004</v>
      </c>
      <c r="H9" s="159">
        <f>สรุปการคำนวณ!O19/1000</f>
        <v>18.62941353</v>
      </c>
      <c r="I9" s="160">
        <f>สรุปการคำนวณ!O20/1000</f>
        <v>0.2934611</v>
      </c>
      <c r="J9" s="161">
        <f>สรุปการคำนวณ!O22/1000</f>
        <v>0.3465156</v>
      </c>
      <c r="K9" s="162">
        <f>สรุปการคำนวณ!O23/1000</f>
        <v>0.552624</v>
      </c>
      <c r="L9" s="159">
        <f t="shared" si="0"/>
        <v>22.4529195266</v>
      </c>
    </row>
    <row r="10" spans="2:12" ht="25.5">
      <c r="B10" s="157" t="s">
        <v>112</v>
      </c>
      <c r="C10" s="158">
        <f>สรุปการคำนวณ!Q12/1000</f>
        <v>3.1428167586</v>
      </c>
      <c r="D10" s="158">
        <f>สรุปการคำนวณ!Q13/1000</f>
        <v>0.141371524</v>
      </c>
      <c r="E10" s="158">
        <f>สรุปการคำนวณ!Q14/1000</f>
        <v>0.0288238944</v>
      </c>
      <c r="F10" s="158">
        <f>สรุปการคำนวณ!Q16/1000</f>
        <v>1.26</v>
      </c>
      <c r="G10" s="158">
        <f>สรุปการคำนวณ!Q17/1000</f>
        <v>0.2232</v>
      </c>
      <c r="H10" s="159">
        <f>สรุปการคำนวณ!Q19/1000</f>
        <v>18.686035914000005</v>
      </c>
      <c r="I10" s="160">
        <f>สรุปการคำนวณ!Q20/1000</f>
        <v>0.20325762000000003</v>
      </c>
      <c r="J10" s="161">
        <f>สรุปการคำนวณ!Q22/1000</f>
        <v>0.3274995</v>
      </c>
      <c r="K10" s="163">
        <f>สรุปการคำนวณ!Q23/1000</f>
        <v>0.95352</v>
      </c>
      <c r="L10" s="159">
        <f t="shared" si="0"/>
        <v>24.966525211000004</v>
      </c>
    </row>
    <row r="11" spans="2:12" ht="25.5">
      <c r="B11" s="157" t="s">
        <v>113</v>
      </c>
      <c r="C11" s="158">
        <f>สรุปการคำนวณ!S12/1000</f>
        <v>0.7685072122000001</v>
      </c>
      <c r="D11" s="158">
        <f>สรุปการคำนวณ!S13/1000</f>
        <v>0.0521715992</v>
      </c>
      <c r="E11" s="158">
        <f>สรุปการคำนวณ!S14/1000</f>
        <v>0.0600037984</v>
      </c>
      <c r="F11" s="158">
        <f>สรุปการคำนวณ!S16/1000</f>
        <v>1.2</v>
      </c>
      <c r="G11" s="158">
        <f>สรุปการคำนวณ!S17/1000</f>
        <v>0.20832000000000003</v>
      </c>
      <c r="H11" s="159">
        <f>สรุปการคำนวณ!S19/1000</f>
        <v>15.487409574000003</v>
      </c>
      <c r="I11" s="160">
        <f>สรุปการคำนวณ!S20/1000</f>
        <v>0.46354196</v>
      </c>
      <c r="J11" s="161">
        <f>สรุปการคำนวณ!S22/1000</f>
        <v>0.3056662</v>
      </c>
      <c r="K11" s="162">
        <f>สรุปการคำนวณ!S23/1000</f>
        <v>0.430128</v>
      </c>
      <c r="L11" s="159">
        <f t="shared" si="0"/>
        <v>18.975748343800003</v>
      </c>
    </row>
    <row r="12" spans="2:12" ht="25.5">
      <c r="B12" s="157" t="s">
        <v>114</v>
      </c>
      <c r="C12" s="158">
        <f>สรุปการคำนวณ!U12/1000</f>
        <v>1.5775851016000002</v>
      </c>
      <c r="D12" s="158">
        <f>สรุปการคำนวณ!U13/1000</f>
        <v>0.0481974752</v>
      </c>
      <c r="E12" s="158">
        <f>สรุปการคำนวณ!U14/1000</f>
        <v>0.0375538296</v>
      </c>
      <c r="F12" s="158">
        <f>สรุปการคำนวณ!U16/1000</f>
        <v>1.32</v>
      </c>
      <c r="G12" s="158">
        <f>สรุปการคำนวณ!U17/1000</f>
        <v>0.2088</v>
      </c>
      <c r="H12" s="159">
        <f>สรุปการคำนวณ!U19/1000</f>
        <v>15.800299970000001</v>
      </c>
      <c r="I12" s="160">
        <f>สรุปการคำนวณ!U20/1000</f>
        <v>0.20179197999999998</v>
      </c>
      <c r="J12" s="161">
        <f>สรุปการคำนวณ!U22/1000</f>
        <v>0.3063705</v>
      </c>
      <c r="K12" s="162">
        <f>สรุปการคำนวณ!U23/1000</f>
        <v>0.6405519999999999</v>
      </c>
      <c r="L12" s="159">
        <f t="shared" si="0"/>
        <v>20.1411508564</v>
      </c>
    </row>
    <row r="13" spans="2:12" ht="25.5">
      <c r="B13" s="157" t="s">
        <v>115</v>
      </c>
      <c r="C13" s="158">
        <f>สรุปการคำนวณ!W12/1000</f>
        <v>2.3949461938</v>
      </c>
      <c r="D13" s="158">
        <f>สรุปการคำนวณ!W13/1000</f>
        <v>0.0819873824</v>
      </c>
      <c r="E13" s="158">
        <f>สรุปการคำนวณ!W14/1000</f>
        <v>0.034606628</v>
      </c>
      <c r="F13" s="158">
        <f>สรุปการคำนวณ!W16/1000</f>
        <v>1.2</v>
      </c>
      <c r="G13" s="158">
        <f>สรุปการคำนวณ!W17/1000</f>
        <v>0.16464000000000004</v>
      </c>
      <c r="H13" s="159">
        <f>สรุปการคำนวณ!W19/1000</f>
        <v>14.279185648</v>
      </c>
      <c r="I13" s="160">
        <f>สรุปการคำนวณ!W20/1000</f>
        <v>0.353039366</v>
      </c>
      <c r="J13" s="161">
        <f>สรุปการคำนวณ!W22/1000</f>
        <v>0.2415749</v>
      </c>
      <c r="K13" s="162">
        <f>สรุปการคำนวณ!W23/1000</f>
        <v>0.728248</v>
      </c>
      <c r="L13" s="159">
        <f t="shared" si="0"/>
        <v>19.4782281182</v>
      </c>
    </row>
    <row r="14" spans="2:12" ht="25.5">
      <c r="B14" s="157" t="s">
        <v>116</v>
      </c>
      <c r="C14" s="158">
        <f>สรุปการคำนวณ!Y12/1000</f>
        <v>1.849613386</v>
      </c>
      <c r="D14" s="158">
        <f>สรุปการคำนวณ!Y13/1000</f>
        <v>0.05161106160000001</v>
      </c>
      <c r="E14" s="158">
        <f>สรุปการคำนวณ!Y14/1000</f>
        <v>0.07119484400000001</v>
      </c>
      <c r="F14" s="158">
        <f>สรุปการคำนวณ!Y16/1000</f>
        <v>1.26</v>
      </c>
      <c r="G14" s="158">
        <f>สรุปการคำนวณ!Y17/1000</f>
        <v>0.17904000000000003</v>
      </c>
      <c r="H14" s="159">
        <f>สรุปการคำนวณ!Y19/1000</f>
        <v>14.268872436000002</v>
      </c>
      <c r="I14" s="160">
        <f>สรุปการคำนวณ!Y20/1000</f>
        <v>0.38266528000000005</v>
      </c>
      <c r="J14" s="161">
        <f>สรุปการคำนวณ!Y22/1000</f>
        <v>0.26270390000000005</v>
      </c>
      <c r="K14" s="162">
        <f>สรุปการคำนวณ!Y23/1000</f>
        <v>0.5788399999999999</v>
      </c>
      <c r="L14" s="159">
        <f t="shared" si="0"/>
        <v>18.904540907600005</v>
      </c>
    </row>
    <row r="15" spans="2:12" ht="25.5">
      <c r="B15" s="157" t="s">
        <v>117</v>
      </c>
      <c r="C15" s="158">
        <f>สรุปการคำนวณ!AA12/1000</f>
        <v>1.0916015242000001</v>
      </c>
      <c r="D15" s="158">
        <f>สรุปการคำนวณ!AA13/1000</f>
        <v>0.0511446768</v>
      </c>
      <c r="E15" s="158">
        <f>สรุปการคำนวณ!AA14/1000</f>
        <v>0.0615408976</v>
      </c>
      <c r="F15" s="158">
        <f>สรุปการคำนวณ!AA16/1000</f>
        <v>1.32</v>
      </c>
      <c r="G15" s="158">
        <f>สรุปการคำนวณ!AA17/1000</f>
        <v>0.19776</v>
      </c>
      <c r="H15" s="159">
        <f>สรุปการคำนวณ!AA19/1000</f>
        <v>10.385077248000002</v>
      </c>
      <c r="I15" s="160">
        <f>สรุปการคำนวณ!AA20/1000</f>
        <v>0.32460595000000003</v>
      </c>
      <c r="J15" s="161">
        <f>สรุปการคำนวณ!AA22/1000</f>
        <v>0.29017160000000003</v>
      </c>
      <c r="K15" s="162">
        <f>สรุปการคำนวณ!AA23/1000</f>
        <v>0.606216</v>
      </c>
      <c r="L15" s="159">
        <f t="shared" si="0"/>
        <v>14.328117896600004</v>
      </c>
    </row>
    <row r="16" spans="2:12" ht="25.5">
      <c r="B16" s="157" t="s">
        <v>118</v>
      </c>
      <c r="C16" s="158">
        <f>สรุปการคำนวณ!AC12/1000</f>
        <v>2.090506928</v>
      </c>
      <c r="D16" s="158">
        <f>สรุปการคำนวณ!AC13/1000</f>
        <v>0.08860654319999998</v>
      </c>
      <c r="E16" s="158">
        <f>สรุปการคำนวณ!AC14/1000</f>
        <v>0.0433518904</v>
      </c>
      <c r="F16" s="158">
        <f>สรุปการคำนวณ!AC16/1000</f>
        <v>1.08</v>
      </c>
      <c r="G16" s="158">
        <f>สรุปการคำนวณ!AC17/1000</f>
        <v>0.15888000000000002</v>
      </c>
      <c r="H16" s="159">
        <f>สรุปการคำนวณ!AC19/1000</f>
        <v>9.380235774000003</v>
      </c>
      <c r="I16" s="160">
        <f>สรุปการคำนวณ!AC20/1000</f>
        <v>0.36607690000000004</v>
      </c>
      <c r="J16" s="161">
        <f>สรุปการคำนวณ!AC22/1000</f>
        <v>0.2331233</v>
      </c>
      <c r="K16" s="162">
        <f>สรุปการคำนวณ!AC23/1000</f>
        <v>0.46307199999999993</v>
      </c>
      <c r="L16" s="159">
        <f t="shared" si="0"/>
        <v>13.903853335600003</v>
      </c>
    </row>
    <row r="17" spans="2:12" ht="26.25">
      <c r="B17" s="164" t="s">
        <v>28</v>
      </c>
      <c r="C17" s="165">
        <f aca="true" t="shared" si="1" ref="C17:L17">SUM(C5:C16)</f>
        <v>19.621719021400004</v>
      </c>
      <c r="D17" s="165">
        <f t="shared" si="1"/>
        <v>0.8290548168</v>
      </c>
      <c r="E17" s="165">
        <f t="shared" si="1"/>
        <v>0.5461212736</v>
      </c>
      <c r="F17" s="165">
        <f>SUM(F5:F16)</f>
        <v>14.639999999999999</v>
      </c>
      <c r="G17" s="165">
        <f>SUM(G5:G16)</f>
        <v>2.6928000000000005</v>
      </c>
      <c r="H17" s="166">
        <f t="shared" si="1"/>
        <v>166.04085006600005</v>
      </c>
      <c r="I17" s="167">
        <f t="shared" si="1"/>
        <v>3.712552726</v>
      </c>
      <c r="J17" s="166">
        <f t="shared" si="1"/>
        <v>3.9511229999999995</v>
      </c>
      <c r="K17" s="168">
        <f t="shared" si="1"/>
        <v>7.054191999999999</v>
      </c>
      <c r="L17" s="166">
        <f t="shared" si="1"/>
        <v>219.0884129038</v>
      </c>
    </row>
    <row r="18" spans="2:12" ht="26.25">
      <c r="B18" s="169" t="s">
        <v>119</v>
      </c>
      <c r="C18" s="165">
        <f aca="true" t="shared" si="2" ref="C18:J18">AVERAGE(C5:C16)</f>
        <v>1.6351432517833338</v>
      </c>
      <c r="D18" s="165">
        <f t="shared" si="2"/>
        <v>0.0690879014</v>
      </c>
      <c r="E18" s="165">
        <f t="shared" si="2"/>
        <v>0.04551010613333333</v>
      </c>
      <c r="F18" s="165">
        <f>AVERAGE(F5:F16)</f>
        <v>1.22</v>
      </c>
      <c r="G18" s="165">
        <f>AVERAGE(G5:G16)</f>
        <v>0.22440000000000004</v>
      </c>
      <c r="H18" s="166">
        <f t="shared" si="2"/>
        <v>13.836737505500004</v>
      </c>
      <c r="I18" s="167">
        <f t="shared" si="2"/>
        <v>0.30937939383333335</v>
      </c>
      <c r="J18" s="166">
        <f t="shared" si="2"/>
        <v>0.32926025</v>
      </c>
      <c r="K18" s="168">
        <f>AVERAGE(K5:K16)</f>
        <v>0.5878493333333332</v>
      </c>
      <c r="L18" s="170">
        <f>AVERAGE(L5:L16)</f>
        <v>18.257367741983334</v>
      </c>
    </row>
  </sheetData>
  <sheetProtection/>
  <printOptions/>
  <pageMargins left="0.9055118110236221" right="0.31496062992125984" top="0.5511811023622047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L5" sqref="L5"/>
    </sheetView>
  </sheetViews>
  <sheetFormatPr defaultColWidth="8.140625" defaultRowHeight="21.75" customHeight="1"/>
  <cols>
    <col min="1" max="1" width="8.8515625" style="174" customWidth="1"/>
    <col min="2" max="3" width="11.8515625" style="174" customWidth="1"/>
    <col min="4" max="4" width="8.28125" style="174" customWidth="1"/>
    <col min="5" max="5" width="9.8515625" style="211" customWidth="1"/>
    <col min="6" max="6" width="9.8515625" style="211" hidden="1" customWidth="1"/>
    <col min="7" max="7" width="12.8515625" style="174" customWidth="1"/>
    <col min="8" max="8" width="12.7109375" style="174" customWidth="1"/>
    <col min="9" max="10" width="11.140625" style="174" customWidth="1"/>
    <col min="11" max="16384" width="8.140625" style="174" customWidth="1"/>
  </cols>
  <sheetData>
    <row r="1" spans="1:10" ht="21.75" customHeight="1">
      <c r="A1" s="171"/>
      <c r="B1" s="171"/>
      <c r="C1" s="171"/>
      <c r="D1" s="171"/>
      <c r="E1" s="172"/>
      <c r="F1" s="172"/>
      <c r="G1" s="171"/>
      <c r="H1" s="173"/>
      <c r="I1" s="171"/>
      <c r="J1" s="173"/>
    </row>
    <row r="2" spans="1:10" ht="21.75" customHeight="1">
      <c r="A2" s="175" t="s">
        <v>125</v>
      </c>
      <c r="B2" s="175"/>
      <c r="C2" s="175"/>
      <c r="D2" s="175"/>
      <c r="E2" s="176"/>
      <c r="F2" s="176"/>
      <c r="G2" s="175"/>
      <c r="H2" s="175"/>
      <c r="I2" s="175"/>
      <c r="J2" s="175"/>
    </row>
    <row r="3" spans="1:10" ht="21.75" customHeight="1">
      <c r="A3" s="177"/>
      <c r="B3" s="178"/>
      <c r="C3" s="178"/>
      <c r="D3" s="178"/>
      <c r="E3" s="179"/>
      <c r="F3" s="179"/>
      <c r="G3" s="178"/>
      <c r="H3" s="178"/>
      <c r="I3" s="178"/>
      <c r="J3" s="178"/>
    </row>
    <row r="4" spans="1:10" s="185" customFormat="1" ht="105" customHeight="1">
      <c r="A4" s="152" t="s">
        <v>105</v>
      </c>
      <c r="B4" s="180" t="s">
        <v>126</v>
      </c>
      <c r="C4" s="181" t="s">
        <v>127</v>
      </c>
      <c r="D4" s="182" t="s">
        <v>128</v>
      </c>
      <c r="E4" s="183" t="s">
        <v>129</v>
      </c>
      <c r="F4" s="184" t="s">
        <v>130</v>
      </c>
      <c r="G4" s="180" t="s">
        <v>131</v>
      </c>
      <c r="H4" s="181" t="s">
        <v>132</v>
      </c>
      <c r="I4" s="180" t="s">
        <v>133</v>
      </c>
      <c r="J4" s="181" t="s">
        <v>134</v>
      </c>
    </row>
    <row r="5" spans="1:12" ht="25.5" customHeight="1">
      <c r="A5" s="157" t="s">
        <v>107</v>
      </c>
      <c r="B5" s="186">
        <f>'[7]สรุปการคำนวณ'!$G$24</f>
        <v>13.5429478026</v>
      </c>
      <c r="C5" s="187">
        <f>สรุปการคำนวณ!G24</f>
        <v>12.8634655786</v>
      </c>
      <c r="D5" s="188">
        <f aca="true" t="shared" si="0" ref="D5:D10">B5-(B5*5%)</f>
        <v>12.865800412470001</v>
      </c>
      <c r="E5" s="189">
        <f aca="true" t="shared" si="1" ref="E5:E10">(C5-D5)*100/D5</f>
        <v>-0.018147599023367156</v>
      </c>
      <c r="F5" s="190">
        <f aca="true" t="shared" si="2" ref="F5:F10">C5-D5</f>
        <v>-0.0023348338700017734</v>
      </c>
      <c r="G5" s="191">
        <f aca="true" t="shared" si="3" ref="G5:H10">B5/200</f>
        <v>0.067714739013</v>
      </c>
      <c r="H5" s="192">
        <f t="shared" si="3"/>
        <v>0.064317327893</v>
      </c>
      <c r="I5" s="193">
        <f aca="true" t="shared" si="4" ref="I5:J10">B5/15125</f>
        <v>0.0008954015076099174</v>
      </c>
      <c r="J5" s="194">
        <f t="shared" si="4"/>
        <v>0.0008504770630479338</v>
      </c>
      <c r="L5" s="195"/>
    </row>
    <row r="6" spans="1:12" ht="25.5" customHeight="1">
      <c r="A6" s="157" t="s">
        <v>108</v>
      </c>
      <c r="B6" s="186">
        <f>'[7]สรุปการคำนวณ'!$I$24</f>
        <v>14.17868770700001</v>
      </c>
      <c r="C6" s="187">
        <f>สรุปการคำนวณ!I24</f>
        <v>15.020295941</v>
      </c>
      <c r="D6" s="188">
        <f t="shared" si="0"/>
        <v>13.46975332165001</v>
      </c>
      <c r="E6" s="196">
        <f t="shared" si="1"/>
        <v>11.511291872419031</v>
      </c>
      <c r="F6" s="197">
        <f t="shared" si="2"/>
        <v>1.55054261934999</v>
      </c>
      <c r="G6" s="191">
        <f t="shared" si="3"/>
        <v>0.07089343853500005</v>
      </c>
      <c r="H6" s="192">
        <f t="shared" si="3"/>
        <v>0.075101479705</v>
      </c>
      <c r="I6" s="193">
        <f t="shared" si="4"/>
        <v>0.0009374338979834718</v>
      </c>
      <c r="J6" s="194">
        <f t="shared" si="4"/>
        <v>0.000993077417586777</v>
      </c>
      <c r="L6" s="195"/>
    </row>
    <row r="7" spans="1:10" ht="25.5" customHeight="1">
      <c r="A7" s="157" t="s">
        <v>109</v>
      </c>
      <c r="B7" s="186">
        <f>'[7]สรุปการคำนวณ'!$K$24</f>
        <v>17.80153672779999</v>
      </c>
      <c r="C7" s="187">
        <f>สรุปการคำนวณ!K24</f>
        <v>19.6525693798</v>
      </c>
      <c r="D7" s="188">
        <f t="shared" si="0"/>
        <v>16.91145989140999</v>
      </c>
      <c r="E7" s="196">
        <f t="shared" si="1"/>
        <v>16.208591724138074</v>
      </c>
      <c r="F7" s="197">
        <f t="shared" si="2"/>
        <v>2.741109488390009</v>
      </c>
      <c r="G7" s="191">
        <f t="shared" si="3"/>
        <v>0.08900768363899995</v>
      </c>
      <c r="H7" s="192">
        <f t="shared" si="3"/>
        <v>0.098262846899</v>
      </c>
      <c r="I7" s="193">
        <f t="shared" si="4"/>
        <v>0.0011769611059702474</v>
      </c>
      <c r="J7" s="194">
        <f t="shared" si="4"/>
        <v>0.0012993434300694214</v>
      </c>
    </row>
    <row r="8" spans="1:10" ht="25.5" customHeight="1">
      <c r="A8" s="157" t="s">
        <v>110</v>
      </c>
      <c r="B8" s="186">
        <f>'[7]สรุปการคำนวณ'!$M$24</f>
        <v>17.998516221600003</v>
      </c>
      <c r="C8" s="187">
        <f>สรุปการคำนวณ!M24</f>
        <v>18.400997808600003</v>
      </c>
      <c r="D8" s="188">
        <f t="shared" si="0"/>
        <v>17.098590410520004</v>
      </c>
      <c r="E8" s="196">
        <f t="shared" si="1"/>
        <v>7.617045421935403</v>
      </c>
      <c r="F8" s="197">
        <f t="shared" si="2"/>
        <v>1.3024073980799997</v>
      </c>
      <c r="G8" s="191">
        <f t="shared" si="3"/>
        <v>0.08999258110800001</v>
      </c>
      <c r="H8" s="192">
        <f t="shared" si="3"/>
        <v>0.09200498904300002</v>
      </c>
      <c r="I8" s="193">
        <f t="shared" si="4"/>
        <v>0.0011899845435768598</v>
      </c>
      <c r="J8" s="194">
        <f t="shared" si="4"/>
        <v>0.0012165948964363638</v>
      </c>
    </row>
    <row r="9" spans="1:10" ht="25.5" customHeight="1">
      <c r="A9" s="157" t="s">
        <v>111</v>
      </c>
      <c r="B9" s="186">
        <f>'[7]สรุปการคำนวณ'!$O$24</f>
        <v>19.3568886264</v>
      </c>
      <c r="C9" s="187">
        <f>สรุปการคำนวณ!O24</f>
        <v>22.4529195266</v>
      </c>
      <c r="D9" s="188">
        <f t="shared" si="0"/>
        <v>18.38904419508</v>
      </c>
      <c r="E9" s="196">
        <f t="shared" si="1"/>
        <v>22.099437515122677</v>
      </c>
      <c r="F9" s="197">
        <f t="shared" si="2"/>
        <v>4.0638753315199985</v>
      </c>
      <c r="G9" s="191">
        <f t="shared" si="3"/>
        <v>0.096784443132</v>
      </c>
      <c r="H9" s="192">
        <f t="shared" si="3"/>
        <v>0.112264597633</v>
      </c>
      <c r="I9" s="193">
        <f t="shared" si="4"/>
        <v>0.0012797942893487603</v>
      </c>
      <c r="J9" s="194">
        <f t="shared" si="4"/>
        <v>0.001484490547213223</v>
      </c>
    </row>
    <row r="10" spans="1:10" ht="25.5" customHeight="1">
      <c r="A10" s="157" t="s">
        <v>112</v>
      </c>
      <c r="B10" s="186">
        <f>'[7]สรุปการคำนวณ'!$Q$24</f>
        <v>21.2099222416</v>
      </c>
      <c r="C10" s="187">
        <f>สรุปการคำนวณ!Q24</f>
        <v>24.966525211000008</v>
      </c>
      <c r="D10" s="188">
        <f t="shared" si="0"/>
        <v>20.149426129520002</v>
      </c>
      <c r="E10" s="196">
        <f t="shared" si="1"/>
        <v>23.90687978166631</v>
      </c>
      <c r="F10" s="197">
        <f t="shared" si="2"/>
        <v>4.817099081480006</v>
      </c>
      <c r="G10" s="191">
        <f t="shared" si="3"/>
        <v>0.10604961120800001</v>
      </c>
      <c r="H10" s="192">
        <f t="shared" si="3"/>
        <v>0.12483262605500003</v>
      </c>
      <c r="I10" s="193">
        <f t="shared" si="4"/>
        <v>0.0014023089085355373</v>
      </c>
      <c r="J10" s="194">
        <f t="shared" si="4"/>
        <v>0.0016506793527933889</v>
      </c>
    </row>
    <row r="11" spans="1:10" ht="25.5" customHeight="1">
      <c r="A11" s="157" t="s">
        <v>113</v>
      </c>
      <c r="B11" s="186">
        <f>'[7]สรุปการคำนวณ'!$S$24</f>
        <v>16.2356771372</v>
      </c>
      <c r="C11" s="187">
        <f>สรุปการคำนวณ!S24</f>
        <v>18.975748343800003</v>
      </c>
      <c r="D11" s="188">
        <f aca="true" t="shared" si="5" ref="D11:D16">B11-(B11*5%)</f>
        <v>15.42389328034</v>
      </c>
      <c r="E11" s="196">
        <f aca="true" t="shared" si="6" ref="E11:E16">(C11-D11)*100/D11</f>
        <v>23.028265295295842</v>
      </c>
      <c r="F11" s="197">
        <f aca="true" t="shared" si="7" ref="F11:F17">C11-D11</f>
        <v>3.5518550634600032</v>
      </c>
      <c r="G11" s="191">
        <f aca="true" t="shared" si="8" ref="G11:G16">B11/200</f>
        <v>0.081178385686</v>
      </c>
      <c r="H11" s="192">
        <f aca="true" t="shared" si="9" ref="H11:H16">C11/200</f>
        <v>0.09487874171900001</v>
      </c>
      <c r="I11" s="193">
        <f aca="true" t="shared" si="10" ref="I11:I16">B11/15125</f>
        <v>0.001073433199153719</v>
      </c>
      <c r="J11" s="194">
        <f aca="true" t="shared" si="11" ref="J11:J16">C11/15125</f>
        <v>0.0012545949318214877</v>
      </c>
    </row>
    <row r="12" spans="1:10" ht="25.5" customHeight="1">
      <c r="A12" s="157" t="s">
        <v>114</v>
      </c>
      <c r="B12" s="186">
        <f>'[7]สรุปการคำนวณ'!$U$24</f>
        <v>19.348989148799998</v>
      </c>
      <c r="C12" s="187">
        <f>สรุปการคำนวณ!U24</f>
        <v>20.141150856400003</v>
      </c>
      <c r="D12" s="188">
        <f t="shared" si="5"/>
        <v>18.381539691359997</v>
      </c>
      <c r="E12" s="196">
        <f t="shared" si="6"/>
        <v>9.572708241992853</v>
      </c>
      <c r="F12" s="197">
        <f t="shared" si="7"/>
        <v>1.7596111650400061</v>
      </c>
      <c r="G12" s="191">
        <f t="shared" si="8"/>
        <v>0.09674494574399999</v>
      </c>
      <c r="H12" s="192">
        <f t="shared" si="9"/>
        <v>0.10070575428200002</v>
      </c>
      <c r="I12" s="193">
        <f t="shared" si="10"/>
        <v>0.0012792720098380164</v>
      </c>
      <c r="J12" s="194">
        <f t="shared" si="11"/>
        <v>0.0013316463376132233</v>
      </c>
    </row>
    <row r="13" spans="1:10" ht="25.5" customHeight="1">
      <c r="A13" s="157" t="s">
        <v>115</v>
      </c>
      <c r="B13" s="186">
        <f>'[7]สรุปการคำนวณ'!$W$24</f>
        <v>20.391807628800006</v>
      </c>
      <c r="C13" s="187">
        <f>สรุปการคำนวณ!W24</f>
        <v>19.4782281182</v>
      </c>
      <c r="D13" s="188">
        <f t="shared" si="5"/>
        <v>19.372217247360005</v>
      </c>
      <c r="E13" s="196">
        <f t="shared" si="6"/>
        <v>0.547231478391778</v>
      </c>
      <c r="F13" s="197">
        <f t="shared" si="7"/>
        <v>0.10601087083999516</v>
      </c>
      <c r="G13" s="191">
        <f t="shared" si="8"/>
        <v>0.10195903814400004</v>
      </c>
      <c r="H13" s="192">
        <f t="shared" si="9"/>
        <v>0.097391140591</v>
      </c>
      <c r="I13" s="193">
        <f t="shared" si="10"/>
        <v>0.0013482186862016532</v>
      </c>
      <c r="J13" s="194">
        <f t="shared" si="11"/>
        <v>0.0012878167350876034</v>
      </c>
    </row>
    <row r="14" spans="1:10" ht="25.5" customHeight="1">
      <c r="A14" s="157" t="s">
        <v>116</v>
      </c>
      <c r="B14" s="186">
        <f>'[7]สรุปการคำนวณ'!$Y$24</f>
        <v>15.490145505800001</v>
      </c>
      <c r="C14" s="187">
        <f>สรุปการคำนวณ!Y24</f>
        <v>18.904540907600005</v>
      </c>
      <c r="D14" s="188">
        <f t="shared" si="5"/>
        <v>14.71563823051</v>
      </c>
      <c r="E14" s="196">
        <f t="shared" si="6"/>
        <v>28.4656540985435</v>
      </c>
      <c r="F14" s="197">
        <f t="shared" si="7"/>
        <v>4.188902677090004</v>
      </c>
      <c r="G14" s="191">
        <f t="shared" si="8"/>
        <v>0.07745072752900001</v>
      </c>
      <c r="H14" s="192">
        <f t="shared" si="9"/>
        <v>0.09452270453800002</v>
      </c>
      <c r="I14" s="193">
        <f t="shared" si="10"/>
        <v>0.0010241418516231406</v>
      </c>
      <c r="J14" s="194">
        <f t="shared" si="11"/>
        <v>0.0012498870021553723</v>
      </c>
    </row>
    <row r="15" spans="1:10" ht="25.5" customHeight="1">
      <c r="A15" s="157" t="s">
        <v>117</v>
      </c>
      <c r="B15" s="186">
        <f>'[7]สรุปการคำนวณ'!$AA$24</f>
        <v>17.0778054236</v>
      </c>
      <c r="C15" s="187">
        <f>สรุปการคำนวณ!AA24</f>
        <v>14.3281178966</v>
      </c>
      <c r="D15" s="188">
        <f t="shared" si="5"/>
        <v>16.223915152420002</v>
      </c>
      <c r="E15" s="189">
        <f t="shared" si="6"/>
        <v>-11.685201987371213</v>
      </c>
      <c r="F15" s="190">
        <f t="shared" si="7"/>
        <v>-1.8957972558200016</v>
      </c>
      <c r="G15" s="191">
        <f t="shared" si="8"/>
        <v>0.085389027118</v>
      </c>
      <c r="H15" s="192">
        <f t="shared" si="9"/>
        <v>0.071640589483</v>
      </c>
      <c r="I15" s="193">
        <f t="shared" si="10"/>
        <v>0.001129111102386777</v>
      </c>
      <c r="J15" s="194">
        <f t="shared" si="11"/>
        <v>0.0009473135799404959</v>
      </c>
    </row>
    <row r="16" spans="1:10" ht="25.5" customHeight="1">
      <c r="A16" s="157" t="s">
        <v>118</v>
      </c>
      <c r="B16" s="186">
        <f>'[7]สรุปการคำนวณ'!$AC$24</f>
        <v>11.894677683800003</v>
      </c>
      <c r="C16" s="187">
        <f>สรุปการคำนวณ!AC24</f>
        <v>13.903853335600001</v>
      </c>
      <c r="D16" s="188">
        <f t="shared" si="5"/>
        <v>11.299943799610002</v>
      </c>
      <c r="E16" s="196">
        <f t="shared" si="6"/>
        <v>23.0435618279789</v>
      </c>
      <c r="F16" s="197">
        <f t="shared" si="7"/>
        <v>2.603909535989999</v>
      </c>
      <c r="G16" s="191">
        <f t="shared" si="8"/>
        <v>0.05947338841900002</v>
      </c>
      <c r="H16" s="192">
        <f t="shared" si="9"/>
        <v>0.069519266678</v>
      </c>
      <c r="I16" s="193">
        <f t="shared" si="10"/>
        <v>0.0007864249708297523</v>
      </c>
      <c r="J16" s="194">
        <f t="shared" si="11"/>
        <v>0.0009192630304528926</v>
      </c>
    </row>
    <row r="17" spans="1:10" ht="25.5" customHeight="1">
      <c r="A17" s="164" t="s">
        <v>28</v>
      </c>
      <c r="B17" s="198">
        <f>SUM(B5:B16)</f>
        <v>204.527601855</v>
      </c>
      <c r="C17" s="199">
        <f>SUM(C5:C16)</f>
        <v>219.0884129038</v>
      </c>
      <c r="D17" s="188">
        <f>B17-(B17*5%)</f>
        <v>194.30122176225</v>
      </c>
      <c r="E17" s="196">
        <f>(C17-D17)*100/D17</f>
        <v>12.757094843119399</v>
      </c>
      <c r="F17" s="197">
        <f t="shared" si="7"/>
        <v>24.787191141549982</v>
      </c>
      <c r="G17" s="235">
        <f>SUM(G5:G16)</f>
        <v>1.022638009275</v>
      </c>
      <c r="H17" s="236">
        <f>SUM(H5:H15)</f>
        <v>1.0259227978410002</v>
      </c>
      <c r="I17" s="237">
        <f>SUM(I5:I16)</f>
        <v>0.013522486073057853</v>
      </c>
      <c r="J17" s="238">
        <f>SUM(J5:J15)</f>
        <v>0.013565921293765293</v>
      </c>
    </row>
    <row r="18" spans="1:10" ht="25.5" customHeight="1">
      <c r="A18" s="169" t="s">
        <v>119</v>
      </c>
      <c r="B18" s="198">
        <f>AVERAGE(B5:B16)</f>
        <v>17.04396682125</v>
      </c>
      <c r="C18" s="199">
        <f>AVERAGE(C5:C16)</f>
        <v>18.257367741983334</v>
      </c>
      <c r="D18" s="200" t="s">
        <v>120</v>
      </c>
      <c r="E18" s="201" t="s">
        <v>120</v>
      </c>
      <c r="F18" s="202" t="s">
        <v>120</v>
      </c>
      <c r="G18" s="235">
        <f>AVERAGE(G5:G16)</f>
        <v>0.08521983410625</v>
      </c>
      <c r="H18" s="236">
        <f>AVERAGE(H5:H15)</f>
        <v>0.09326570889463638</v>
      </c>
      <c r="I18" s="237">
        <f>AVERAGE(I5:I16)</f>
        <v>0.0011268738394214879</v>
      </c>
      <c r="J18" s="238">
        <f>AVERAGE(J5:J15)</f>
        <v>0.0012332655721604812</v>
      </c>
    </row>
    <row r="19" spans="1:10" ht="25.5" customHeight="1">
      <c r="A19" s="203"/>
      <c r="B19" s="204"/>
      <c r="C19" s="205"/>
      <c r="D19" s="205"/>
      <c r="E19" s="206"/>
      <c r="F19" s="206"/>
      <c r="G19" s="205"/>
      <c r="H19" s="205"/>
      <c r="I19" s="205"/>
      <c r="J19" s="205"/>
    </row>
    <row r="20" spans="1:10" ht="25.5" customHeight="1">
      <c r="A20" s="207"/>
      <c r="B20" s="208"/>
      <c r="C20" s="208"/>
      <c r="D20" s="208"/>
      <c r="E20" s="209"/>
      <c r="F20" s="209"/>
      <c r="G20" s="208"/>
      <c r="H20" s="207"/>
      <c r="I20" s="208"/>
      <c r="J20" s="207"/>
    </row>
    <row r="21" spans="1:10" ht="25.5" customHeight="1">
      <c r="A21" s="207"/>
      <c r="B21" s="208"/>
      <c r="C21" s="208"/>
      <c r="D21" s="208"/>
      <c r="E21" s="209"/>
      <c r="F21" s="209"/>
      <c r="G21" s="208"/>
      <c r="H21" s="207"/>
      <c r="I21" s="208"/>
      <c r="J21" s="207"/>
    </row>
    <row r="22" spans="1:10" ht="25.5" customHeight="1">
      <c r="A22" s="207"/>
      <c r="B22" s="208"/>
      <c r="C22" s="208"/>
      <c r="D22" s="208"/>
      <c r="E22" s="209"/>
      <c r="F22" s="209"/>
      <c r="G22" s="208"/>
      <c r="H22" s="207"/>
      <c r="I22" s="208"/>
      <c r="J22" s="207"/>
    </row>
    <row r="23" spans="1:10" ht="25.5" customHeight="1">
      <c r="A23" s="207"/>
      <c r="B23" s="208"/>
      <c r="C23" s="208"/>
      <c r="D23" s="208"/>
      <c r="E23" s="209"/>
      <c r="F23" s="209"/>
      <c r="G23" s="208"/>
      <c r="H23" s="207"/>
      <c r="I23" s="208"/>
      <c r="J23" s="207"/>
    </row>
    <row r="24" spans="1:10" ht="25.5" customHeight="1">
      <c r="A24" s="207"/>
      <c r="B24" s="208"/>
      <c r="C24" s="208"/>
      <c r="D24" s="208"/>
      <c r="E24" s="209"/>
      <c r="F24" s="209"/>
      <c r="G24" s="208"/>
      <c r="H24" s="207"/>
      <c r="I24" s="208"/>
      <c r="J24" s="207"/>
    </row>
    <row r="25" spans="1:10" ht="25.5" customHeight="1">
      <c r="A25" s="207"/>
      <c r="B25" s="208"/>
      <c r="C25" s="208"/>
      <c r="D25" s="208"/>
      <c r="E25" s="209"/>
      <c r="F25" s="209"/>
      <c r="G25" s="208"/>
      <c r="H25" s="207"/>
      <c r="I25" s="208"/>
      <c r="J25" s="207"/>
    </row>
    <row r="26" spans="1:10" ht="25.5" customHeight="1">
      <c r="A26" s="207"/>
      <c r="B26" s="208"/>
      <c r="C26" s="208"/>
      <c r="D26" s="208"/>
      <c r="E26" s="209"/>
      <c r="F26" s="209"/>
      <c r="G26" s="208"/>
      <c r="H26" s="207"/>
      <c r="I26" s="208"/>
      <c r="J26" s="207"/>
    </row>
    <row r="27" spans="1:10" ht="25.5" customHeight="1">
      <c r="A27" s="207"/>
      <c r="B27" s="208"/>
      <c r="C27" s="208"/>
      <c r="D27" s="208"/>
      <c r="E27" s="209"/>
      <c r="F27" s="209"/>
      <c r="G27" s="208"/>
      <c r="H27" s="207"/>
      <c r="I27" s="208"/>
      <c r="J27" s="207"/>
    </row>
    <row r="28" spans="1:10" ht="25.5" customHeight="1">
      <c r="A28" s="207"/>
      <c r="B28" s="208"/>
      <c r="C28" s="208"/>
      <c r="D28" s="208"/>
      <c r="E28" s="209"/>
      <c r="F28" s="209"/>
      <c r="G28" s="208"/>
      <c r="H28" s="207"/>
      <c r="I28" s="208"/>
      <c r="J28" s="207"/>
    </row>
    <row r="29" spans="1:10" ht="25.5" customHeight="1">
      <c r="A29" s="207"/>
      <c r="B29" s="208"/>
      <c r="C29" s="208"/>
      <c r="D29" s="208"/>
      <c r="E29" s="209"/>
      <c r="F29" s="209"/>
      <c r="G29" s="208"/>
      <c r="H29" s="207"/>
      <c r="I29" s="208"/>
      <c r="J29" s="207"/>
    </row>
    <row r="30" spans="1:10" ht="25.5" customHeight="1">
      <c r="A30" s="178"/>
      <c r="B30" s="208"/>
      <c r="C30" s="208"/>
      <c r="D30" s="208"/>
      <c r="E30" s="209"/>
      <c r="F30" s="209"/>
      <c r="G30" s="208"/>
      <c r="H30" s="207"/>
      <c r="I30" s="208"/>
      <c r="J30" s="207"/>
    </row>
    <row r="31" spans="1:10" ht="25.5" customHeight="1">
      <c r="A31" s="207"/>
      <c r="B31" s="207"/>
      <c r="C31" s="207"/>
      <c r="D31" s="207"/>
      <c r="E31" s="210"/>
      <c r="F31" s="210"/>
      <c r="G31" s="207"/>
      <c r="H31" s="207"/>
      <c r="I31" s="207"/>
      <c r="J31" s="207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</sheetData>
  <sheetProtection/>
  <printOptions/>
  <pageMargins left="0.9055118110236221" right="0.5118110236220472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"/>
  <sheetViews>
    <sheetView showGridLines="0" zoomScaleSheetLayoutView="100" workbookViewId="0" topLeftCell="A1">
      <selection activeCell="I5" sqref="I5"/>
    </sheetView>
  </sheetViews>
  <sheetFormatPr defaultColWidth="9.140625" defaultRowHeight="15"/>
  <cols>
    <col min="1" max="1" width="2.00390625" style="145" customWidth="1"/>
    <col min="2" max="2" width="14.7109375" style="145" customWidth="1"/>
    <col min="3" max="3" width="12.00390625" style="221" customWidth="1"/>
    <col min="4" max="4" width="13.7109375" style="144" customWidth="1"/>
    <col min="5" max="5" width="15.421875" style="144" customWidth="1"/>
    <col min="6" max="16384" width="8.8515625" style="145" customWidth="1"/>
  </cols>
  <sheetData>
    <row r="2" spans="2:6" ht="26.25">
      <c r="B2" s="260" t="s">
        <v>122</v>
      </c>
      <c r="C2" s="260"/>
      <c r="D2" s="260"/>
      <c r="E2" s="260"/>
      <c r="F2" s="260"/>
    </row>
    <row r="3" spans="2:6" ht="78" customHeight="1">
      <c r="B3" s="38" t="s">
        <v>83</v>
      </c>
      <c r="C3" s="212" t="s">
        <v>123</v>
      </c>
      <c r="D3" s="213" t="s">
        <v>124</v>
      </c>
      <c r="E3" s="243" t="s">
        <v>138</v>
      </c>
      <c r="F3" s="38" t="s">
        <v>3</v>
      </c>
    </row>
    <row r="4" spans="2:6" ht="25.5">
      <c r="B4" s="45" t="s">
        <v>4</v>
      </c>
      <c r="C4" s="214">
        <f>'[7]สรุปการคำนวณ'!C28</f>
        <v>40.224869187</v>
      </c>
      <c r="D4" s="215">
        <f>สรุปการคำนวณ!C28</f>
        <v>38.3296951118</v>
      </c>
      <c r="E4" s="244">
        <f>(C4-D4)*100/C4</f>
        <v>4.711448697047576</v>
      </c>
      <c r="F4" s="45" t="s">
        <v>30</v>
      </c>
    </row>
    <row r="5" spans="2:8" ht="25.5">
      <c r="B5" s="45" t="s">
        <v>6</v>
      </c>
      <c r="C5" s="214">
        <f>'[7]สรุปการคำนวณ'!C29</f>
        <v>147.35588030800002</v>
      </c>
      <c r="D5" s="215">
        <f>สรุปการคำนวณ!C29</f>
        <v>166.04085006600002</v>
      </c>
      <c r="E5" s="196">
        <f>(D5-C5)*100/C5</f>
        <v>12.680165677097568</v>
      </c>
      <c r="F5" s="45" t="s">
        <v>30</v>
      </c>
      <c r="H5" s="222"/>
    </row>
    <row r="6" spans="2:6" ht="25.5">
      <c r="B6" s="45" t="s">
        <v>9</v>
      </c>
      <c r="C6" s="214">
        <f>'[7]สรุปการคำนวณ'!C30</f>
        <v>16.94685236</v>
      </c>
      <c r="D6" s="215">
        <f>สรุปการคำนวณ!C30</f>
        <v>14.717867726000001</v>
      </c>
      <c r="E6" s="244">
        <f>(C6-D6)*100/C6</f>
        <v>13.152794316312788</v>
      </c>
      <c r="F6" s="45" t="s">
        <v>30</v>
      </c>
    </row>
    <row r="7" spans="2:6" ht="25.5">
      <c r="B7" s="45" t="s">
        <v>28</v>
      </c>
      <c r="C7" s="216">
        <f>SUM(C4:C6)</f>
        <v>204.52760185500003</v>
      </c>
      <c r="D7" s="217">
        <f>SUM(D4:D6)</f>
        <v>219.08841290380002</v>
      </c>
      <c r="E7" s="245">
        <f>SUM(E4:E6)</f>
        <v>30.544408690457928</v>
      </c>
      <c r="F7" s="45" t="s">
        <v>30</v>
      </c>
    </row>
    <row r="9" ht="25.5">
      <c r="C9" s="218"/>
    </row>
    <row r="17" spans="1:10" ht="26.25">
      <c r="A17" s="146"/>
      <c r="B17" s="146"/>
      <c r="C17" s="219"/>
      <c r="D17" s="220"/>
      <c r="E17" s="220"/>
      <c r="F17" s="146"/>
      <c r="G17" s="146"/>
      <c r="H17" s="146"/>
      <c r="I17" s="146"/>
      <c r="J17" s="146"/>
    </row>
    <row r="18" spans="1:10" ht="26.25">
      <c r="A18" s="146"/>
      <c r="B18" s="146"/>
      <c r="C18" s="219"/>
      <c r="D18" s="220"/>
      <c r="E18" s="220"/>
      <c r="F18" s="146"/>
      <c r="G18" s="146"/>
      <c r="H18" s="146"/>
      <c r="I18" s="146"/>
      <c r="J18" s="146"/>
    </row>
    <row r="28" ht="23.25" customHeight="1"/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thada</dc:creator>
  <cp:keywords/>
  <dc:description/>
  <cp:lastModifiedBy>ASUS</cp:lastModifiedBy>
  <cp:lastPrinted>2020-08-15T11:31:21Z</cp:lastPrinted>
  <dcterms:created xsi:type="dcterms:W3CDTF">2015-02-17T07:08:20Z</dcterms:created>
  <dcterms:modified xsi:type="dcterms:W3CDTF">2020-11-06T19:54:21Z</dcterms:modified>
  <cp:category/>
  <cp:version/>
  <cp:contentType/>
  <cp:contentStatus/>
</cp:coreProperties>
</file>